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9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<sst xmlns="http://schemas.openxmlformats.org/spreadsheetml/2006/main" count="69" uniqueCount="32">
  <si>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PAC Contributions 2005-2006 Through June 30, 2006</t>
  </si>
  <si>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</si>
  <si>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</si>
  <si>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</si>
  <si>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</si>
  <si>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</si>
  <si>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</si>
  <si>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</si>
  <si>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</si>
  <si>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</si>
  <si>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</si>
  <si>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>Senate (all)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</si>
  <si>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</si>
  <si>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</si>
  <si>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</si>
  <si>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</si>
  <si>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</si>
  <si>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 xml:space="preserve">  Other</t>
  </si>
  <si>
    <t xml:space="preserve">   Incumbent</t>
  </si>
  <si>
    <t>House (all)</t>
  </si>
  <si>
    <t>President</t>
  </si>
  <si>
    <t xml:space="preserve">   Democrat</t>
  </si>
  <si>
    <t xml:space="preserve">   Republican</t>
  </si>
  <si>
    <t xml:space="preserve">   Other</t>
  </si>
  <si>
    <t>Summary of Contributions to All Federal Races</t>
  </si>
  <si>
    <t>Incumbent</t>
  </si>
  <si>
    <t>Challenger</t>
  </si>
  <si>
    <t>Open Seat</t>
  </si>
  <si>
    <t>Democrat</t>
  </si>
  <si>
    <t>Republican</t>
  </si>
  <si>
    <t>Other</t>
  </si>
  <si>
    <t>2006 candidates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</si>
</sst>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5" fontId="0" fillId="0" borderId="4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5" xfId="0" applyNumberFormat="1" applyBorder="1" applyAlignment="1">
      <alignment/>
    </xf>
    <xf numFmtId="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A117" sqref="A117:IV117"/>
    </sheetView>
  </sheetViews>
  <sheetFormatPr defaultColWidth="9.140625" defaultRowHeight="12.75"/>
  <cols>
    <col min="3" max="4" width="12.421875" style="0" bestFit="1" customWidth="1"/>
    <col min="5" max="5" width="12.8515625" style="0" customWidth="1"/>
    <col min="6" max="6" width="13.28125" style="0" customWidth="1"/>
    <col min="7" max="7" width="11.57421875" style="0" bestFit="1" customWidth="1"/>
    <col min="8" max="8" width="11.421875" style="0" bestFit="1" customWidth="1"/>
    <col min="9" max="9" width="13.57421875" style="0" bestFit="1" customWidth="1"/>
    <col min="12" max="12" width="13.57421875" style="0" bestFit="1" customWidth="1"/>
  </cols>
  <sheetData>
    <row r="1" spans="1:9" ht="12.75">
      <c r="A1" s="1"/>
      <c r="B1" s="1"/>
      <c r="C1" s="2"/>
      <c r="D1" s="2"/>
      <c r="E1" s="3"/>
      <c r="F1" s="4" t="s">
        <v>0</v>
      </c>
      <c r="G1" s="2"/>
      <c r="H1" s="2"/>
      <c r="I1" s="2"/>
    </row>
    <row r="2" spans="1:9" ht="12.75">
      <c r="A2" s="1"/>
      <c r="B2" s="1"/>
      <c r="C2" s="4"/>
      <c r="D2" s="4"/>
      <c r="E2" s="4" t="s">
        <v>1</v>
      </c>
      <c r="F2" s="4" t="s">
        <v>2</v>
      </c>
      <c r="G2" s="4"/>
      <c r="H2" s="5" t="s">
        <v>3</v>
      </c>
      <c r="I2" s="2"/>
    </row>
    <row r="3" spans="1:9" ht="12.75">
      <c r="A3" s="1"/>
      <c r="B3" s="1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</row>
    <row r="4" spans="1:9" ht="12.75">
      <c r="A4" s="1"/>
      <c r="B4" s="1"/>
      <c r="C4" s="22"/>
      <c r="D4" s="22"/>
      <c r="E4" s="22"/>
      <c r="F4" s="22"/>
      <c r="G4" s="22"/>
      <c r="H4" s="5"/>
      <c r="I4" s="22"/>
    </row>
    <row r="5" spans="1:9" ht="12.75">
      <c r="A5" s="3" t="s">
        <v>11</v>
      </c>
      <c r="C5" s="8">
        <f aca="true" t="shared" si="0" ref="C5:H6">C8+C21+C33</f>
        <v>26437024</v>
      </c>
      <c r="D5" s="8">
        <f t="shared" si="0"/>
        <v>5435389</v>
      </c>
      <c r="E5" s="8">
        <f t="shared" si="0"/>
        <v>12910221</v>
      </c>
      <c r="F5" s="8">
        <f t="shared" si="0"/>
        <v>13807493</v>
      </c>
      <c r="G5" s="8">
        <f t="shared" si="0"/>
        <v>454143</v>
      </c>
      <c r="H5" s="9">
        <f t="shared" si="0"/>
        <v>1002932</v>
      </c>
      <c r="I5" s="8">
        <f>C5+D5+E5+F5+G5+H5</f>
        <v>60047202</v>
      </c>
    </row>
    <row r="6" spans="1:9" ht="12.75">
      <c r="A6" s="10" t="s">
        <v>31</v>
      </c>
      <c r="B6" s="11"/>
      <c r="C6" s="12">
        <f t="shared" si="0"/>
        <v>-19388332</v>
      </c>
      <c r="D6" s="12">
        <f>D9+D22+D34</f>
        <v>-4812164</v>
      </c>
      <c r="E6" s="12">
        <f>E9+E22+E34</f>
        <v>-11811112</v>
      </c>
      <c r="F6" s="12">
        <f>F9+F22+F34</f>
        <v>-10902304</v>
      </c>
      <c r="G6" s="12">
        <f>G9+G22+G34</f>
        <v>-316500</v>
      </c>
      <c r="H6" s="13">
        <f>H9+H22+H34</f>
        <v>-731146</v>
      </c>
      <c r="I6" s="12">
        <f aca="true" t="shared" si="1" ref="I6:I21">C6+D6+E6+F6+G6+H6</f>
        <v>-47961558</v>
      </c>
    </row>
    <row r="7" spans="1:8" ht="12.75">
      <c r="A7" s="3"/>
      <c r="C7" s="8"/>
      <c r="D7" s="8"/>
      <c r="E7" s="8"/>
      <c r="F7" s="8"/>
      <c r="G7" s="8"/>
      <c r="H7" s="9"/>
    </row>
    <row r="8" spans="1:9" ht="12.75">
      <c r="A8" s="10" t="s">
        <v>12</v>
      </c>
      <c r="B8" s="14"/>
      <c r="C8" s="8">
        <f aca="true" t="shared" si="2" ref="C8:H9">C11+C14+C17</f>
        <v>9532368</v>
      </c>
      <c r="D8" s="8">
        <f t="shared" si="2"/>
        <v>4675437</v>
      </c>
      <c r="E8" s="8">
        <f t="shared" si="2"/>
        <v>5710259</v>
      </c>
      <c r="F8" s="8">
        <f t="shared" si="2"/>
        <v>5265818</v>
      </c>
      <c r="G8" s="8">
        <f t="shared" si="2"/>
        <v>221800</v>
      </c>
      <c r="H8" s="9">
        <f t="shared" si="2"/>
        <v>462265</v>
      </c>
      <c r="I8" s="8">
        <f t="shared" si="1"/>
        <v>25867947</v>
      </c>
    </row>
    <row r="9" spans="1:9" ht="12.75">
      <c r="A9" s="3"/>
      <c r="C9" s="8">
        <f t="shared" si="2"/>
        <v>-7326102</v>
      </c>
      <c r="D9" s="8">
        <f t="shared" si="2"/>
        <v>-4238462</v>
      </c>
      <c r="E9" s="8">
        <f t="shared" si="2"/>
        <v>-5381328</v>
      </c>
      <c r="F9" s="8">
        <f t="shared" si="2"/>
        <v>-4282795</v>
      </c>
      <c r="G9" s="8">
        <f t="shared" si="2"/>
        <v>-177800</v>
      </c>
      <c r="H9" s="9">
        <f t="shared" si="2"/>
        <v>-362429</v>
      </c>
      <c r="I9" s="8">
        <f t="shared" si="1"/>
        <v>-21768916</v>
      </c>
    </row>
    <row r="10" spans="1:8" ht="12.75">
      <c r="A10" s="3"/>
      <c r="C10" s="8"/>
      <c r="D10" s="8"/>
      <c r="E10" s="8"/>
      <c r="F10" s="8"/>
      <c r="G10" s="8"/>
      <c r="H10" s="9"/>
    </row>
    <row r="11" spans="1:9" ht="12.75">
      <c r="A11" s="3" t="s">
        <v>13</v>
      </c>
      <c r="C11" s="8">
        <v>8922093</v>
      </c>
      <c r="D11" s="8">
        <f>2962935+10000</f>
        <v>2972935</v>
      </c>
      <c r="E11" s="8">
        <f>2355053+1096161</f>
        <v>3451214</v>
      </c>
      <c r="F11" s="8">
        <v>4452944</v>
      </c>
      <c r="G11" s="8">
        <v>176000</v>
      </c>
      <c r="H11" s="9">
        <v>394715</v>
      </c>
      <c r="I11" s="8">
        <f t="shared" si="1"/>
        <v>20369901</v>
      </c>
    </row>
    <row r="12" spans="1:9" ht="12.75">
      <c r="A12" s="3"/>
      <c r="C12" s="8">
        <v>-6722870</v>
      </c>
      <c r="D12" s="8">
        <v>-2518985</v>
      </c>
      <c r="E12" s="8">
        <f>-(963215+2166009)</f>
        <v>-3129224</v>
      </c>
      <c r="F12" s="8">
        <v>-3468921</v>
      </c>
      <c r="G12" s="8">
        <v>-134500</v>
      </c>
      <c r="H12" s="9">
        <v>-296379</v>
      </c>
      <c r="I12" s="8">
        <f t="shared" si="1"/>
        <v>-16270879</v>
      </c>
    </row>
    <row r="13" spans="1:8" ht="12.75">
      <c r="A13" s="3"/>
      <c r="C13" s="8"/>
      <c r="D13" s="8"/>
      <c r="E13" s="8"/>
      <c r="F13" s="8"/>
      <c r="G13" s="8"/>
      <c r="H13" s="9"/>
    </row>
    <row r="14" spans="1:9" ht="12.75">
      <c r="A14" s="3" t="s">
        <v>14</v>
      </c>
      <c r="C14" s="8">
        <v>166818</v>
      </c>
      <c r="D14" s="8">
        <v>1206025</v>
      </c>
      <c r="E14" s="8">
        <f>1531644+164779</f>
        <v>1696423</v>
      </c>
      <c r="F14" s="8">
        <v>431223</v>
      </c>
      <c r="G14" s="8">
        <v>31500</v>
      </c>
      <c r="H14" s="9">
        <v>27550</v>
      </c>
      <c r="I14" s="8">
        <f t="shared" si="1"/>
        <v>3559539</v>
      </c>
    </row>
    <row r="15" spans="1:9" ht="12.75">
      <c r="A15" s="3"/>
      <c r="C15" s="8">
        <v>-159775</v>
      </c>
      <c r="D15" s="8">
        <v>-1223000</v>
      </c>
      <c r="E15" s="8">
        <f>-(1532144+157338)</f>
        <v>-1689482</v>
      </c>
      <c r="F15" s="8">
        <v>-432223</v>
      </c>
      <c r="G15" s="8">
        <v>-29000</v>
      </c>
      <c r="H15" s="9">
        <v>-26050</v>
      </c>
      <c r="I15" s="8">
        <f t="shared" si="1"/>
        <v>-3559530</v>
      </c>
    </row>
    <row r="16" spans="1:8" ht="12.75">
      <c r="A16" s="3"/>
      <c r="C16" s="8"/>
      <c r="D16" s="8"/>
      <c r="E16" s="8"/>
      <c r="F16" s="8"/>
      <c r="G16" s="8"/>
      <c r="H16" s="9"/>
    </row>
    <row r="17" spans="1:9" ht="12.75">
      <c r="A17" s="3" t="s">
        <v>15</v>
      </c>
      <c r="C17" s="8">
        <v>443457</v>
      </c>
      <c r="D17" s="8">
        <v>496477</v>
      </c>
      <c r="E17" s="8">
        <f>120340+442282</f>
        <v>562622</v>
      </c>
      <c r="F17" s="8">
        <v>381651</v>
      </c>
      <c r="G17" s="8">
        <v>14300</v>
      </c>
      <c r="H17" s="9">
        <v>40000</v>
      </c>
      <c r="I17" s="8">
        <f t="shared" si="1"/>
        <v>1938507</v>
      </c>
    </row>
    <row r="18" spans="1:9" ht="12.75">
      <c r="A18" s="3"/>
      <c r="C18" s="8">
        <v>-443457</v>
      </c>
      <c r="D18" s="8">
        <v>-496477</v>
      </c>
      <c r="E18" s="8">
        <v>-562622</v>
      </c>
      <c r="F18" s="8">
        <v>-381651</v>
      </c>
      <c r="G18" s="8">
        <v>-14300</v>
      </c>
      <c r="H18" s="9">
        <v>-40000</v>
      </c>
      <c r="I18" s="8">
        <f t="shared" si="1"/>
        <v>-1938507</v>
      </c>
    </row>
    <row r="19" spans="1:8" ht="12.75">
      <c r="A19" s="3"/>
      <c r="C19" s="8"/>
      <c r="D19" s="8"/>
      <c r="E19" s="8"/>
      <c r="F19" s="8"/>
      <c r="G19" s="8"/>
      <c r="H19" s="9"/>
    </row>
    <row r="20" spans="1:8" ht="12.75">
      <c r="A20" s="3"/>
      <c r="C20" s="8"/>
      <c r="D20" s="8"/>
      <c r="E20" s="8"/>
      <c r="F20" s="8"/>
      <c r="G20" s="8"/>
      <c r="H20" s="9"/>
    </row>
    <row r="21" spans="1:9" ht="12.75">
      <c r="A21" s="10" t="s">
        <v>16</v>
      </c>
      <c r="B21" s="14"/>
      <c r="C21" s="8">
        <f aca="true" t="shared" si="3" ref="C21:H22">C24+C27+C30</f>
        <v>16897906</v>
      </c>
      <c r="D21" s="8">
        <f>D24+D27+D30</f>
        <v>563800</v>
      </c>
      <c r="E21" s="8">
        <f>E24+E27+E30</f>
        <v>7120315</v>
      </c>
      <c r="F21" s="8">
        <f>F24+F27+F30</f>
        <v>8459865</v>
      </c>
      <c r="G21" s="8">
        <f>G24+G27+G30</f>
        <v>228343</v>
      </c>
      <c r="H21" s="9">
        <f>H24+H27+H30</f>
        <v>539667</v>
      </c>
      <c r="I21" s="8">
        <f t="shared" si="1"/>
        <v>33809896</v>
      </c>
    </row>
    <row r="22" spans="1:9" ht="12.75">
      <c r="A22" s="3"/>
      <c r="C22" s="8">
        <f t="shared" si="3"/>
        <v>-12055230</v>
      </c>
      <c r="D22" s="8">
        <f t="shared" si="3"/>
        <v>-382550</v>
      </c>
      <c r="E22" s="8">
        <f t="shared" si="3"/>
        <v>-6350137</v>
      </c>
      <c r="F22" s="8">
        <f t="shared" si="3"/>
        <v>-6541199</v>
      </c>
      <c r="G22" s="8">
        <f t="shared" si="3"/>
        <v>-134700</v>
      </c>
      <c r="H22" s="9">
        <f t="shared" si="3"/>
        <v>-367717</v>
      </c>
      <c r="I22" s="8">
        <f>C22+D22+E22+F22+G22+H22</f>
        <v>-25831533</v>
      </c>
    </row>
    <row r="23" spans="1:8" ht="12.75">
      <c r="A23" s="3"/>
      <c r="C23" s="8"/>
      <c r="D23" s="8"/>
      <c r="E23" s="8"/>
      <c r="F23" s="8"/>
      <c r="G23" s="8"/>
      <c r="H23" s="9"/>
    </row>
    <row r="24" spans="1:9" ht="12.75">
      <c r="A24" s="3" t="s">
        <v>13</v>
      </c>
      <c r="C24" s="8">
        <v>15655923</v>
      </c>
      <c r="D24" s="8">
        <v>543850</v>
      </c>
      <c r="E24" s="8">
        <f>1385446+4048587</f>
        <v>5434033</v>
      </c>
      <c r="F24" s="8">
        <v>7538057</v>
      </c>
      <c r="G24" s="8">
        <v>213893</v>
      </c>
      <c r="H24" s="9">
        <v>508417</v>
      </c>
      <c r="I24" s="8">
        <f>C24+D24+E24+F24+G24+H24</f>
        <v>29894173</v>
      </c>
    </row>
    <row r="25" spans="1:9" ht="12.75">
      <c r="A25" s="3"/>
      <c r="C25" s="8">
        <v>-10824247</v>
      </c>
      <c r="D25" s="8">
        <v>-367100</v>
      </c>
      <c r="E25" s="8">
        <f>-(3511792+1164063)</f>
        <v>-4675855</v>
      </c>
      <c r="F25" s="8">
        <v>-5614838</v>
      </c>
      <c r="G25" s="8">
        <v>-120250</v>
      </c>
      <c r="H25" s="9">
        <v>-336467</v>
      </c>
      <c r="I25" s="8">
        <f>C25+D25+E25+F25+G25+H25</f>
        <v>-21938757</v>
      </c>
    </row>
    <row r="26" spans="1:8" ht="12.75">
      <c r="A26" s="3"/>
      <c r="C26" s="8"/>
      <c r="D26" s="8"/>
      <c r="E26" s="8"/>
      <c r="F26" s="8"/>
      <c r="G26" s="8"/>
      <c r="H26" s="9"/>
    </row>
    <row r="27" spans="1:9" ht="12.75">
      <c r="A27" s="3" t="s">
        <v>14</v>
      </c>
      <c r="C27" s="8">
        <v>473850</v>
      </c>
      <c r="D27" s="8">
        <v>9450</v>
      </c>
      <c r="E27" s="8">
        <f>762257+117150</f>
        <v>879407</v>
      </c>
      <c r="F27" s="8">
        <v>356471</v>
      </c>
      <c r="G27" s="8">
        <v>0</v>
      </c>
      <c r="H27" s="9">
        <v>26000</v>
      </c>
      <c r="I27" s="8">
        <f>C27+D27+E27+F27+G27+H27</f>
        <v>1745178</v>
      </c>
    </row>
    <row r="28" spans="1:9" ht="12.75">
      <c r="A28" s="3"/>
      <c r="C28" s="8">
        <v>-462850</v>
      </c>
      <c r="D28" s="8">
        <v>-4950</v>
      </c>
      <c r="E28" s="8">
        <f>-(754757+112650)</f>
        <v>-867407</v>
      </c>
      <c r="F28" s="8">
        <v>-361024</v>
      </c>
      <c r="G28" s="8">
        <v>0</v>
      </c>
      <c r="H28" s="9">
        <v>-26000</v>
      </c>
      <c r="I28" s="8">
        <f>C28+D28+E28+F28+G28+H28</f>
        <v>-1722231</v>
      </c>
    </row>
    <row r="29" spans="1:8" ht="12.75">
      <c r="A29" s="3"/>
      <c r="C29" s="8"/>
      <c r="D29" s="8"/>
      <c r="E29" s="8"/>
      <c r="F29" s="8"/>
      <c r="G29" s="8"/>
      <c r="H29" s="9"/>
    </row>
    <row r="30" spans="1:9" ht="12.75">
      <c r="A30" s="3" t="s">
        <v>15</v>
      </c>
      <c r="C30" s="8">
        <v>768133</v>
      </c>
      <c r="D30" s="8">
        <v>10500</v>
      </c>
      <c r="E30" s="8">
        <f>700375+106500</f>
        <v>806875</v>
      </c>
      <c r="F30" s="8">
        <v>565337</v>
      </c>
      <c r="G30" s="8">
        <v>14450</v>
      </c>
      <c r="H30" s="9">
        <v>5250</v>
      </c>
      <c r="I30" s="8">
        <f>C30+D30+E30+F30+G30+H30</f>
        <v>2170545</v>
      </c>
    </row>
    <row r="31" spans="1:9" ht="12.75">
      <c r="A31" s="3"/>
      <c r="C31" s="8">
        <v>-768133</v>
      </c>
      <c r="D31" s="8">
        <v>-10500</v>
      </c>
      <c r="E31" s="8">
        <v>-806875</v>
      </c>
      <c r="F31" s="8">
        <v>-565337</v>
      </c>
      <c r="G31" s="8">
        <v>-14450</v>
      </c>
      <c r="H31" s="9">
        <v>-5250</v>
      </c>
      <c r="I31" s="8">
        <f>C31+D31+E31+F31+G31+H31</f>
        <v>-2170545</v>
      </c>
    </row>
    <row r="32" spans="1:8" ht="12.75">
      <c r="A32" s="3"/>
      <c r="C32" s="8"/>
      <c r="D32" s="8"/>
      <c r="E32" s="8"/>
      <c r="F32" s="8"/>
      <c r="G32" s="8"/>
      <c r="H32" s="9"/>
    </row>
    <row r="33" spans="1:9" ht="12.75">
      <c r="A33" s="10" t="s">
        <v>17</v>
      </c>
      <c r="B33" s="14"/>
      <c r="C33" s="8">
        <f aca="true" t="shared" si="4" ref="C33:H33">C36+C39+C42</f>
        <v>6750</v>
      </c>
      <c r="D33" s="8">
        <f t="shared" si="4"/>
        <v>196152</v>
      </c>
      <c r="E33" s="8">
        <f t="shared" si="4"/>
        <v>79647</v>
      </c>
      <c r="F33" s="8">
        <f t="shared" si="4"/>
        <v>81810</v>
      </c>
      <c r="G33" s="8">
        <f t="shared" si="4"/>
        <v>4000</v>
      </c>
      <c r="H33" s="9">
        <f t="shared" si="4"/>
        <v>1000</v>
      </c>
      <c r="I33" s="8">
        <f>C33+D33+E33+F33+G33+H33</f>
        <v>369359</v>
      </c>
    </row>
    <row r="34" spans="1:9" ht="12.75">
      <c r="A34" s="3"/>
      <c r="C34" s="8">
        <f aca="true" t="shared" si="5" ref="C34:H34">C40+C43</f>
        <v>-7000</v>
      </c>
      <c r="D34" s="8">
        <f t="shared" si="5"/>
        <v>-191152</v>
      </c>
      <c r="E34" s="8">
        <f t="shared" si="5"/>
        <v>-79647</v>
      </c>
      <c r="F34" s="8">
        <f t="shared" si="5"/>
        <v>-78310</v>
      </c>
      <c r="G34" s="8">
        <f t="shared" si="5"/>
        <v>-4000</v>
      </c>
      <c r="H34" s="9">
        <f t="shared" si="5"/>
        <v>-1000</v>
      </c>
      <c r="I34" s="8">
        <f aca="true" t="shared" si="6" ref="I34:I43">C34+D34+E34+F34+G34+H34</f>
        <v>-361109</v>
      </c>
    </row>
    <row r="35" spans="1:9" ht="12.75">
      <c r="A35" s="3"/>
      <c r="C35" s="8"/>
      <c r="D35" s="8"/>
      <c r="E35" s="8"/>
      <c r="F35" s="8"/>
      <c r="G35" s="8"/>
      <c r="H35" s="9"/>
      <c r="I35" s="8"/>
    </row>
    <row r="36" spans="1:9" ht="12.75">
      <c r="A36" s="3" t="s">
        <v>18</v>
      </c>
      <c r="C36" s="8">
        <v>0</v>
      </c>
      <c r="D36" s="8">
        <v>5000</v>
      </c>
      <c r="E36" s="8">
        <v>0</v>
      </c>
      <c r="F36" s="8">
        <v>3500</v>
      </c>
      <c r="G36" s="8">
        <v>0</v>
      </c>
      <c r="H36" s="9">
        <v>0</v>
      </c>
      <c r="I36" s="8">
        <f t="shared" si="6"/>
        <v>8500</v>
      </c>
    </row>
    <row r="37" spans="1:9" ht="12.75">
      <c r="A37" s="3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9">
        <v>0</v>
      </c>
      <c r="I37" s="8">
        <f t="shared" si="6"/>
        <v>0</v>
      </c>
    </row>
    <row r="38" spans="1:9" ht="12.75">
      <c r="A38" s="3"/>
      <c r="C38" s="8"/>
      <c r="D38" s="8"/>
      <c r="E38" s="8"/>
      <c r="F38" s="8"/>
      <c r="G38" s="8"/>
      <c r="H38" s="9"/>
      <c r="I38" s="8"/>
    </row>
    <row r="39" spans="1:9" ht="12.75">
      <c r="A39" s="3" t="s">
        <v>14</v>
      </c>
      <c r="C39" s="8">
        <v>-250</v>
      </c>
      <c r="D39" s="8">
        <v>0</v>
      </c>
      <c r="E39" s="8">
        <v>0</v>
      </c>
      <c r="F39" s="8">
        <v>0</v>
      </c>
      <c r="G39" s="8">
        <v>0</v>
      </c>
      <c r="H39" s="9">
        <v>0</v>
      </c>
      <c r="I39" s="8">
        <f t="shared" si="6"/>
        <v>-250</v>
      </c>
    </row>
    <row r="40" spans="1:9" ht="12.75">
      <c r="A40" s="3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9">
        <v>0</v>
      </c>
      <c r="I40" s="8">
        <f t="shared" si="6"/>
        <v>0</v>
      </c>
    </row>
    <row r="41" spans="1:9" ht="12.75">
      <c r="A41" s="3"/>
      <c r="C41" s="8"/>
      <c r="D41" s="8"/>
      <c r="E41" s="8"/>
      <c r="F41" s="8"/>
      <c r="G41" s="8"/>
      <c r="H41" s="9"/>
      <c r="I41" s="8"/>
    </row>
    <row r="42" spans="1:9" ht="12.75">
      <c r="A42" s="3" t="s">
        <v>15</v>
      </c>
      <c r="C42" s="8">
        <v>7000</v>
      </c>
      <c r="D42" s="8">
        <v>191152</v>
      </c>
      <c r="E42" s="8">
        <f>10500+69147</f>
        <v>79647</v>
      </c>
      <c r="F42" s="8">
        <v>78310</v>
      </c>
      <c r="G42" s="8">
        <v>4000</v>
      </c>
      <c r="H42" s="9">
        <v>1000</v>
      </c>
      <c r="I42" s="8">
        <f t="shared" si="6"/>
        <v>361109</v>
      </c>
    </row>
    <row r="43" spans="1:9" ht="12.75">
      <c r="A43" s="3"/>
      <c r="C43" s="8">
        <v>-7000</v>
      </c>
      <c r="D43" s="8">
        <v>-191152</v>
      </c>
      <c r="E43" s="8">
        <v>-79647</v>
      </c>
      <c r="F43" s="8">
        <v>-78310</v>
      </c>
      <c r="G43" s="8">
        <v>-4000</v>
      </c>
      <c r="H43" s="9">
        <v>-1000</v>
      </c>
      <c r="I43" s="8">
        <f t="shared" si="6"/>
        <v>-361109</v>
      </c>
    </row>
    <row r="44" spans="1:8" ht="12.75">
      <c r="A44" s="3"/>
      <c r="C44" s="8"/>
      <c r="D44" s="8"/>
      <c r="E44" s="8"/>
      <c r="F44" s="8"/>
      <c r="G44" s="8"/>
      <c r="H44" s="9"/>
    </row>
    <row r="45" spans="1:8" ht="12.75">
      <c r="A45" s="3"/>
      <c r="C45" s="8"/>
      <c r="D45" s="8"/>
      <c r="E45" s="8"/>
      <c r="F45" s="8"/>
      <c r="G45" s="8"/>
      <c r="H45" s="9"/>
    </row>
    <row r="46" spans="1:9" ht="12.75">
      <c r="A46" s="3" t="s">
        <v>19</v>
      </c>
      <c r="C46" s="8">
        <f>C49+C61+C75</f>
        <v>67259191</v>
      </c>
      <c r="D46" s="8">
        <f>D49+D61+D75</f>
        <v>32616999</v>
      </c>
      <c r="E46" s="8">
        <f>E49+E61+E75</f>
        <v>31320556</v>
      </c>
      <c r="F46" s="8">
        <f>F49+F61+F75</f>
        <v>52285296</v>
      </c>
      <c r="G46" s="8">
        <f>G49+G61+G75</f>
        <v>1906607</v>
      </c>
      <c r="H46" s="9">
        <f>H49+H61+H75</f>
        <v>2765428</v>
      </c>
      <c r="I46" s="8">
        <f aca="true" t="shared" si="7" ref="I46:I59">C46+D46+E46+F46+G46+H46</f>
        <v>188154077</v>
      </c>
    </row>
    <row r="47" spans="1:9" ht="12.75">
      <c r="A47" s="10" t="s">
        <v>31</v>
      </c>
      <c r="B47" s="11"/>
      <c r="C47" s="12">
        <f>C50+C62+C76</f>
        <v>-64130088</v>
      </c>
      <c r="D47" s="12">
        <f>D50+D62+D76</f>
        <v>-31251157</v>
      </c>
      <c r="E47" s="12">
        <f>E50+E62+E76</f>
        <v>-29926884</v>
      </c>
      <c r="F47" s="12">
        <f>F50+F62+F76</f>
        <v>-50445197</v>
      </c>
      <c r="G47" s="12">
        <f>G50+G62+G76</f>
        <v>-1788964</v>
      </c>
      <c r="H47" s="13">
        <f>H50+H62+H76</f>
        <v>-2627575</v>
      </c>
      <c r="I47" s="12">
        <f t="shared" si="7"/>
        <v>-180169865</v>
      </c>
    </row>
    <row r="48" spans="1:8" ht="12.75">
      <c r="A48" s="3"/>
      <c r="C48" s="8"/>
      <c r="D48" s="8"/>
      <c r="E48" s="8"/>
      <c r="F48" s="8"/>
      <c r="G48" s="8"/>
      <c r="H48" s="9"/>
    </row>
    <row r="49" spans="1:9" ht="12.75">
      <c r="A49" s="10" t="s">
        <v>12</v>
      </c>
      <c r="B49" s="14"/>
      <c r="C49" s="8">
        <f>C52+C55+C58</f>
        <v>21314774</v>
      </c>
      <c r="D49" s="8">
        <f aca="true" t="shared" si="8" ref="D49:H50">D52+D55+D58</f>
        <v>28342996</v>
      </c>
      <c r="E49" s="8">
        <f t="shared" si="8"/>
        <v>10438345</v>
      </c>
      <c r="F49" s="8">
        <f t="shared" si="8"/>
        <v>19170651</v>
      </c>
      <c r="G49" s="8">
        <f t="shared" si="8"/>
        <v>988749</v>
      </c>
      <c r="H49" s="9">
        <f t="shared" si="8"/>
        <v>1154562</v>
      </c>
      <c r="I49" s="8">
        <f t="shared" si="7"/>
        <v>81410077</v>
      </c>
    </row>
    <row r="50" spans="1:9" ht="12.75">
      <c r="A50" s="3"/>
      <c r="C50" s="8">
        <f>C53+C56+C59</f>
        <v>-19817169</v>
      </c>
      <c r="D50" s="8">
        <f t="shared" si="8"/>
        <v>-27098547</v>
      </c>
      <c r="E50" s="8">
        <f t="shared" si="8"/>
        <v>-9559294</v>
      </c>
      <c r="F50" s="8">
        <f t="shared" si="8"/>
        <v>-18290877</v>
      </c>
      <c r="G50" s="8">
        <f t="shared" si="8"/>
        <v>-932749</v>
      </c>
      <c r="H50" s="9">
        <f t="shared" si="8"/>
        <v>-1076112</v>
      </c>
      <c r="I50" s="8">
        <f t="shared" si="7"/>
        <v>-76774748</v>
      </c>
    </row>
    <row r="51" spans="1:8" ht="12.75">
      <c r="A51" s="3"/>
      <c r="C51" s="15"/>
      <c r="D51" s="15"/>
      <c r="E51" s="15"/>
      <c r="F51" s="15"/>
      <c r="G51" s="15"/>
      <c r="H51" s="16"/>
    </row>
    <row r="52" spans="1:9" ht="12.75">
      <c r="A52" s="3" t="s">
        <v>13</v>
      </c>
      <c r="C52" s="8">
        <f>20473419+343074</f>
        <v>20816493</v>
      </c>
      <c r="D52" s="8">
        <f>21459982+292350</f>
        <v>21752332</v>
      </c>
      <c r="E52" s="8">
        <f>4028611+44900+1961179+26002</f>
        <v>6060692</v>
      </c>
      <c r="F52" s="8">
        <f>17365035+348803</f>
        <v>17713838</v>
      </c>
      <c r="G52" s="8">
        <f>881961+77488</f>
        <v>959449</v>
      </c>
      <c r="H52" s="9">
        <f>1030725+31426</f>
        <v>1062151</v>
      </c>
      <c r="I52" s="8">
        <f t="shared" si="7"/>
        <v>68364955</v>
      </c>
    </row>
    <row r="53" spans="1:9" ht="12.75">
      <c r="A53" s="3"/>
      <c r="C53" s="8">
        <v>-19324238</v>
      </c>
      <c r="D53" s="8">
        <f>-(20263673+254100)</f>
        <v>-20517773</v>
      </c>
      <c r="E53" s="8">
        <f>-(1770609+24002+3351630+39400)</f>
        <v>-5185641</v>
      </c>
      <c r="F53" s="8">
        <f>-(16516386+328303)</f>
        <v>-16844689</v>
      </c>
      <c r="G53" s="8">
        <f>-(835461+68988)</f>
        <v>-904449</v>
      </c>
      <c r="H53" s="9">
        <f>-(956975+28676)</f>
        <v>-985651</v>
      </c>
      <c r="I53" s="8">
        <f t="shared" si="7"/>
        <v>-63762441</v>
      </c>
    </row>
    <row r="54" spans="1:8" ht="12.75">
      <c r="A54" s="3"/>
      <c r="C54" s="8"/>
      <c r="D54" s="8"/>
      <c r="E54" s="8"/>
      <c r="F54" s="8"/>
      <c r="G54" s="8"/>
      <c r="H54" s="9"/>
    </row>
    <row r="55" spans="1:9" ht="12.75">
      <c r="A55" s="3" t="s">
        <v>14</v>
      </c>
      <c r="C55" s="8">
        <f>267105+500</f>
        <v>267605</v>
      </c>
      <c r="D55" s="8">
        <f>4477184+63500</f>
        <v>4540684</v>
      </c>
      <c r="E55" s="8">
        <f>2775154+18100+340502+3000</f>
        <v>3136756</v>
      </c>
      <c r="F55" s="8">
        <v>819575</v>
      </c>
      <c r="G55" s="8">
        <v>17500</v>
      </c>
      <c r="H55" s="9">
        <v>40400</v>
      </c>
      <c r="I55" s="8">
        <f t="shared" si="7"/>
        <v>8822520</v>
      </c>
    </row>
    <row r="56" spans="1:9" ht="12.75">
      <c r="A56" s="3"/>
      <c r="C56" s="8">
        <v>-262255</v>
      </c>
      <c r="D56" s="8">
        <f>-(4467294+63500)</f>
        <v>-4530794</v>
      </c>
      <c r="E56" s="8">
        <f>-(2770654+18100+341002+3000)</f>
        <v>-3132756</v>
      </c>
      <c r="F56" s="8">
        <v>-808950</v>
      </c>
      <c r="G56" s="8">
        <v>-16500</v>
      </c>
      <c r="H56" s="9">
        <v>-38450</v>
      </c>
      <c r="I56" s="8">
        <f t="shared" si="7"/>
        <v>-8789705</v>
      </c>
    </row>
    <row r="57" spans="1:8" ht="12.75">
      <c r="A57" s="3"/>
      <c r="C57" s="8"/>
      <c r="D57" s="8"/>
      <c r="E57" s="8"/>
      <c r="F57" s="8"/>
      <c r="G57" s="8"/>
      <c r="H57" s="9"/>
    </row>
    <row r="58" spans="1:9" ht="12.75">
      <c r="A58" s="3" t="s">
        <v>15</v>
      </c>
      <c r="C58" s="8">
        <v>230676</v>
      </c>
      <c r="D58" s="8">
        <f>2019980+30000</f>
        <v>2049980</v>
      </c>
      <c r="E58" s="8">
        <f>1104982+10500+117415+8000</f>
        <v>1240897</v>
      </c>
      <c r="F58" s="8">
        <v>637238</v>
      </c>
      <c r="G58" s="8">
        <v>11800</v>
      </c>
      <c r="H58" s="9">
        <f>44561+7450</f>
        <v>52011</v>
      </c>
      <c r="I58" s="8">
        <f t="shared" si="7"/>
        <v>4222602</v>
      </c>
    </row>
    <row r="59" spans="1:9" ht="12.75">
      <c r="A59" s="3"/>
      <c r="C59" s="8">
        <v>-230676</v>
      </c>
      <c r="D59" s="8">
        <v>-2049980</v>
      </c>
      <c r="E59" s="8">
        <v>-1240897</v>
      </c>
      <c r="F59" s="8">
        <v>-637238</v>
      </c>
      <c r="G59" s="8">
        <v>-11800</v>
      </c>
      <c r="H59" s="9">
        <v>-52011</v>
      </c>
      <c r="I59" s="8">
        <f t="shared" si="7"/>
        <v>-4222602</v>
      </c>
    </row>
    <row r="60" spans="1:8" ht="12.75">
      <c r="A60" s="3"/>
      <c r="C60" s="8"/>
      <c r="D60" s="8"/>
      <c r="E60" s="8"/>
      <c r="F60" s="8"/>
      <c r="G60" s="8"/>
      <c r="H60" s="9"/>
    </row>
    <row r="61" spans="1:9" ht="12.75">
      <c r="A61" s="10" t="s">
        <v>16</v>
      </c>
      <c r="B61" s="14"/>
      <c r="C61" s="8">
        <f aca="true" t="shared" si="9" ref="C61:H62">C64+C67+C70</f>
        <v>45932167</v>
      </c>
      <c r="D61" s="8">
        <f t="shared" si="9"/>
        <v>4244003</v>
      </c>
      <c r="E61" s="8">
        <f t="shared" si="9"/>
        <v>20871712</v>
      </c>
      <c r="F61" s="8">
        <f t="shared" si="9"/>
        <v>33114645</v>
      </c>
      <c r="G61" s="8">
        <f t="shared" si="9"/>
        <v>917858</v>
      </c>
      <c r="H61" s="9">
        <f t="shared" si="9"/>
        <v>1606766</v>
      </c>
      <c r="I61" s="8">
        <f aca="true" t="shared" si="10" ref="I61:I76">C61+D61+E61+F61+G61+H61</f>
        <v>106687151</v>
      </c>
    </row>
    <row r="62" spans="1:9" ht="12.75">
      <c r="A62" s="3"/>
      <c r="C62" s="8">
        <f t="shared" si="9"/>
        <v>-44301419</v>
      </c>
      <c r="D62" s="8">
        <f>D65+D68+D71</f>
        <v>-4122610</v>
      </c>
      <c r="E62" s="8">
        <f>E65+E68+E71</f>
        <v>-20358091</v>
      </c>
      <c r="F62" s="8">
        <f>F65+F68+F71</f>
        <v>-32154320</v>
      </c>
      <c r="G62" s="8">
        <f>G65+G68+G71</f>
        <v>-856215</v>
      </c>
      <c r="H62" s="9">
        <f>H65+H68+H71</f>
        <v>-1549363</v>
      </c>
      <c r="I62" s="8">
        <f t="shared" si="10"/>
        <v>-103342018</v>
      </c>
    </row>
    <row r="63" spans="1:8" ht="12.75">
      <c r="A63" s="3"/>
      <c r="C63" s="15"/>
      <c r="D63" s="15"/>
      <c r="E63" s="15"/>
      <c r="F63" s="15"/>
      <c r="G63" s="15"/>
      <c r="H63" s="16"/>
    </row>
    <row r="64" spans="1:9" ht="12.75">
      <c r="A64" s="3" t="s">
        <v>13</v>
      </c>
      <c r="C64" s="8">
        <v>43911780</v>
      </c>
      <c r="D64" s="8">
        <v>4121560</v>
      </c>
      <c r="E64" s="8">
        <f>3197695+13479358</f>
        <v>16677053</v>
      </c>
      <c r="F64" s="8">
        <v>30939343</v>
      </c>
      <c r="G64" s="8">
        <v>851965</v>
      </c>
      <c r="H64" s="9">
        <v>1504098</v>
      </c>
      <c r="I64" s="8">
        <f t="shared" si="10"/>
        <v>98005799</v>
      </c>
    </row>
    <row r="65" spans="1:9" ht="12.75">
      <c r="A65" s="3"/>
      <c r="C65" s="8">
        <v>-42494504</v>
      </c>
      <c r="D65" s="8">
        <v>-4017110</v>
      </c>
      <c r="E65" s="8">
        <f>-(13090114+3118768)</f>
        <v>-16208882</v>
      </c>
      <c r="F65" s="8">
        <v>-30162189</v>
      </c>
      <c r="G65" s="8">
        <v>-832965</v>
      </c>
      <c r="H65" s="9">
        <v>-1459195</v>
      </c>
      <c r="I65" s="8">
        <f t="shared" si="10"/>
        <v>-95174845</v>
      </c>
    </row>
    <row r="66" spans="1:8" ht="12.75">
      <c r="A66" s="3"/>
      <c r="C66" s="8"/>
      <c r="D66" s="8"/>
      <c r="E66" s="8"/>
      <c r="F66" s="8"/>
      <c r="G66" s="8"/>
      <c r="H66" s="9"/>
    </row>
    <row r="67" spans="1:9" ht="12.75">
      <c r="A67" s="3" t="s">
        <v>14</v>
      </c>
      <c r="C67" s="8">
        <v>443386</v>
      </c>
      <c r="D67" s="8">
        <v>43443</v>
      </c>
      <c r="E67" s="8">
        <f>1618854+74299</f>
        <v>1693153</v>
      </c>
      <c r="F67" s="8">
        <v>577362</v>
      </c>
      <c r="G67" s="8">
        <v>42643</v>
      </c>
      <c r="H67" s="9">
        <v>35350</v>
      </c>
      <c r="I67" s="8">
        <f t="shared" si="10"/>
        <v>2835337</v>
      </c>
    </row>
    <row r="68" spans="1:9" ht="12.75">
      <c r="A68" s="3"/>
      <c r="C68" s="8">
        <v>-229914</v>
      </c>
      <c r="D68" s="8">
        <v>-26500</v>
      </c>
      <c r="E68" s="8">
        <f>-(1594354+53349)</f>
        <v>-1647703</v>
      </c>
      <c r="F68" s="8">
        <v>-394191</v>
      </c>
      <c r="G68" s="8">
        <v>0</v>
      </c>
      <c r="H68" s="9">
        <v>-22850</v>
      </c>
      <c r="I68" s="8">
        <f t="shared" si="10"/>
        <v>-2321158</v>
      </c>
    </row>
    <row r="69" spans="1:8" ht="12.75">
      <c r="A69" s="3"/>
      <c r="C69" s="8"/>
      <c r="D69" s="8"/>
      <c r="E69" s="8"/>
      <c r="F69" s="8"/>
      <c r="G69" s="8"/>
      <c r="H69" s="9"/>
    </row>
    <row r="70" spans="1:9" ht="12.75">
      <c r="A70" s="3" t="s">
        <v>15</v>
      </c>
      <c r="C70" s="8">
        <v>1577001</v>
      </c>
      <c r="D70" s="8">
        <v>79000</v>
      </c>
      <c r="E70" s="8">
        <f>150465+2351041</f>
        <v>2501506</v>
      </c>
      <c r="F70" s="8">
        <v>1597940</v>
      </c>
      <c r="G70" s="8">
        <v>23250</v>
      </c>
      <c r="H70" s="9">
        <v>67318</v>
      </c>
      <c r="I70" s="8">
        <f t="shared" si="10"/>
        <v>5846015</v>
      </c>
    </row>
    <row r="71" spans="1:9" ht="12.75">
      <c r="A71" s="3"/>
      <c r="C71" s="8">
        <v>-1577001</v>
      </c>
      <c r="D71" s="8">
        <v>-79000</v>
      </c>
      <c r="E71" s="8">
        <v>-2501506</v>
      </c>
      <c r="F71" s="8">
        <v>-1597940</v>
      </c>
      <c r="G71" s="8">
        <v>-23250</v>
      </c>
      <c r="H71" s="9">
        <v>-67318</v>
      </c>
      <c r="I71" s="8">
        <f t="shared" si="10"/>
        <v>-5846015</v>
      </c>
    </row>
    <row r="72" spans="1:9" ht="12.75">
      <c r="A72" s="3"/>
      <c r="C72" s="4"/>
      <c r="D72" s="4"/>
      <c r="E72" s="4" t="s">
        <v>1</v>
      </c>
      <c r="F72" s="4" t="s">
        <v>2</v>
      </c>
      <c r="G72" s="4"/>
      <c r="H72" s="5" t="s">
        <v>3</v>
      </c>
      <c r="I72" s="4"/>
    </row>
    <row r="73" spans="1:9" ht="12.75">
      <c r="A73" s="3"/>
      <c r="C73" s="6" t="s">
        <v>4</v>
      </c>
      <c r="D73" s="6" t="s">
        <v>5</v>
      </c>
      <c r="E73" s="6" t="s">
        <v>6</v>
      </c>
      <c r="F73" s="6" t="s">
        <v>7</v>
      </c>
      <c r="G73" s="6" t="s">
        <v>8</v>
      </c>
      <c r="H73" s="7" t="s">
        <v>9</v>
      </c>
      <c r="I73" s="6" t="s">
        <v>10</v>
      </c>
    </row>
    <row r="74" spans="1:8" ht="12.75">
      <c r="A74" s="3"/>
      <c r="C74" s="8"/>
      <c r="D74" s="8"/>
      <c r="E74" s="8"/>
      <c r="F74" s="8"/>
      <c r="G74" s="8"/>
      <c r="H74" s="9"/>
    </row>
    <row r="75" spans="1:9" ht="12.75">
      <c r="A75" s="10" t="s">
        <v>17</v>
      </c>
      <c r="B75" s="14"/>
      <c r="C75" s="8">
        <f>C78+C81+C84</f>
        <v>12250</v>
      </c>
      <c r="D75" s="8">
        <f aca="true" t="shared" si="11" ref="C75:H76">D78+D81+D84</f>
        <v>30000</v>
      </c>
      <c r="E75" s="8">
        <f t="shared" si="11"/>
        <v>10499</v>
      </c>
      <c r="F75" s="8">
        <f t="shared" si="11"/>
        <v>0</v>
      </c>
      <c r="G75" s="8">
        <f t="shared" si="11"/>
        <v>0</v>
      </c>
      <c r="H75" s="9">
        <f t="shared" si="11"/>
        <v>4100</v>
      </c>
      <c r="I75" s="8">
        <f t="shared" si="10"/>
        <v>56849</v>
      </c>
    </row>
    <row r="76" spans="1:9" ht="12.75">
      <c r="A76" s="3"/>
      <c r="C76" s="8">
        <f t="shared" si="11"/>
        <v>-11500</v>
      </c>
      <c r="D76" s="8">
        <f t="shared" si="11"/>
        <v>-30000</v>
      </c>
      <c r="E76" s="8">
        <f t="shared" si="11"/>
        <v>-9499</v>
      </c>
      <c r="F76" s="8">
        <f t="shared" si="11"/>
        <v>0</v>
      </c>
      <c r="G76" s="8">
        <f t="shared" si="11"/>
        <v>0</v>
      </c>
      <c r="H76" s="9">
        <f t="shared" si="11"/>
        <v>-2100</v>
      </c>
      <c r="I76" s="8">
        <f t="shared" si="10"/>
        <v>-53099</v>
      </c>
    </row>
    <row r="77" spans="1:8" ht="12.75">
      <c r="A77" s="3"/>
      <c r="C77" s="8"/>
      <c r="D77" s="8"/>
      <c r="E77" s="8"/>
      <c r="F77" s="8"/>
      <c r="G77" s="8"/>
      <c r="H77" s="9"/>
    </row>
    <row r="78" spans="1:9" ht="12.75">
      <c r="A78" s="3" t="s">
        <v>13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9">
        <v>0</v>
      </c>
      <c r="I78" s="8">
        <f aca="true" t="shared" si="12" ref="I78:I94">C78+D78+E78+F78+G78+H78</f>
        <v>0</v>
      </c>
    </row>
    <row r="79" spans="1:9" ht="12.75">
      <c r="A79" s="3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9">
        <v>0</v>
      </c>
      <c r="I79" s="8">
        <f t="shared" si="12"/>
        <v>0</v>
      </c>
    </row>
    <row r="80" spans="1:8" ht="12.75">
      <c r="A80" s="3"/>
      <c r="C80" s="8"/>
      <c r="D80" s="8"/>
      <c r="E80" s="8"/>
      <c r="F80" s="8"/>
      <c r="G80" s="8"/>
      <c r="H80" s="9"/>
    </row>
    <row r="81" spans="1:9" ht="12.75">
      <c r="A81" s="3" t="s">
        <v>14</v>
      </c>
      <c r="C81" s="8">
        <v>1250</v>
      </c>
      <c r="D81" s="8">
        <v>30000</v>
      </c>
      <c r="E81" s="8">
        <v>1000</v>
      </c>
      <c r="F81" s="8">
        <v>0</v>
      </c>
      <c r="G81" s="8">
        <v>0</v>
      </c>
      <c r="H81" s="9">
        <v>2000</v>
      </c>
      <c r="I81" s="8">
        <f t="shared" si="12"/>
        <v>34250</v>
      </c>
    </row>
    <row r="82" spans="1:9" ht="12.75">
      <c r="A82" s="3"/>
      <c r="C82" s="8">
        <v>-500</v>
      </c>
      <c r="D82" s="8">
        <v>-30000</v>
      </c>
      <c r="E82" s="8">
        <v>0</v>
      </c>
      <c r="F82" s="8">
        <v>0</v>
      </c>
      <c r="G82" s="8">
        <v>0</v>
      </c>
      <c r="H82" s="9">
        <v>0</v>
      </c>
      <c r="I82" s="8">
        <f t="shared" si="12"/>
        <v>-30500</v>
      </c>
    </row>
    <row r="83" spans="1:8" ht="12.75">
      <c r="A83" s="3"/>
      <c r="C83" s="8"/>
      <c r="D83" s="8"/>
      <c r="E83" s="8"/>
      <c r="F83" s="8"/>
      <c r="G83" s="8"/>
      <c r="H83" s="9"/>
    </row>
    <row r="84" spans="1:9" ht="12.75">
      <c r="A84" s="3" t="s">
        <v>15</v>
      </c>
      <c r="C84" s="8">
        <v>11000</v>
      </c>
      <c r="D84" s="8">
        <v>0</v>
      </c>
      <c r="E84" s="8">
        <f>6500+999+2000</f>
        <v>9499</v>
      </c>
      <c r="F84" s="8">
        <v>0</v>
      </c>
      <c r="G84" s="8">
        <v>0</v>
      </c>
      <c r="H84" s="9">
        <v>2100</v>
      </c>
      <c r="I84" s="8">
        <f t="shared" si="12"/>
        <v>22599</v>
      </c>
    </row>
    <row r="85" spans="1:9" ht="12.75">
      <c r="A85" s="3"/>
      <c r="C85" s="8">
        <v>-11000</v>
      </c>
      <c r="D85" s="8">
        <v>0</v>
      </c>
      <c r="E85" s="8">
        <v>-9499</v>
      </c>
      <c r="F85" s="8">
        <v>0</v>
      </c>
      <c r="G85" s="8">
        <v>0</v>
      </c>
      <c r="H85" s="9">
        <v>-2100</v>
      </c>
      <c r="I85" s="8">
        <f t="shared" si="12"/>
        <v>-22599</v>
      </c>
    </row>
    <row r="86" spans="1:8" ht="12.75">
      <c r="A86" s="3"/>
      <c r="C86" s="8"/>
      <c r="D86" s="8"/>
      <c r="E86" s="8"/>
      <c r="F86" s="8"/>
      <c r="G86" s="8"/>
      <c r="H86" s="9"/>
    </row>
    <row r="87" spans="1:9" ht="12.75">
      <c r="A87" s="3" t="s">
        <v>20</v>
      </c>
      <c r="C87" s="8">
        <f aca="true" t="shared" si="13" ref="C87:H87">C91+C94+C104+C112+C97+C107+C114+C102</f>
        <v>0</v>
      </c>
      <c r="D87" s="8">
        <f t="shared" si="13"/>
        <v>7000</v>
      </c>
      <c r="E87" s="8">
        <f t="shared" si="13"/>
        <v>14986</v>
      </c>
      <c r="F87" s="8">
        <f t="shared" si="13"/>
        <v>-7500</v>
      </c>
      <c r="G87" s="8">
        <f t="shared" si="13"/>
        <v>0</v>
      </c>
      <c r="H87" s="9">
        <f t="shared" si="13"/>
        <v>103</v>
      </c>
      <c r="I87" s="8">
        <f t="shared" si="12"/>
        <v>14589</v>
      </c>
    </row>
    <row r="88" spans="1:9" ht="12.75">
      <c r="A88" s="10"/>
      <c r="B88" s="11"/>
      <c r="C88" s="12">
        <f aca="true" t="shared" si="14" ref="C88:H88">C92+C95+C105+C115+C98+C108+C113+C103</f>
        <v>0</v>
      </c>
      <c r="D88" s="12">
        <f t="shared" si="14"/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3">
        <f t="shared" si="14"/>
        <v>0</v>
      </c>
      <c r="I88" s="12">
        <f t="shared" si="12"/>
        <v>0</v>
      </c>
    </row>
    <row r="89" spans="1:8" ht="12.75">
      <c r="A89" s="10" t="s">
        <v>21</v>
      </c>
      <c r="C89" s="8"/>
      <c r="D89" s="8"/>
      <c r="E89" s="8"/>
      <c r="F89" s="8"/>
      <c r="G89" s="8"/>
      <c r="H89" s="9"/>
    </row>
    <row r="90" spans="1:8" ht="12.75">
      <c r="A90" s="3"/>
      <c r="C90" s="8"/>
      <c r="D90" s="8"/>
      <c r="E90" s="8"/>
      <c r="F90" s="8"/>
      <c r="G90" s="8"/>
      <c r="H90" s="9"/>
    </row>
    <row r="91" spans="1:9" ht="12.75">
      <c r="A91" s="3" t="s">
        <v>13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9">
        <v>0</v>
      </c>
      <c r="I91" s="8">
        <f t="shared" si="12"/>
        <v>0</v>
      </c>
    </row>
    <row r="92" spans="1:9" ht="12.75">
      <c r="A92" s="3"/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9">
        <v>0</v>
      </c>
      <c r="I92" s="8">
        <f t="shared" si="12"/>
        <v>0</v>
      </c>
    </row>
    <row r="93" spans="1:9" ht="12.75">
      <c r="A93" s="3"/>
      <c r="C93" s="8"/>
      <c r="D93" s="8"/>
      <c r="E93" s="8"/>
      <c r="F93" s="8"/>
      <c r="G93" s="8"/>
      <c r="H93" s="9"/>
      <c r="I93" s="8"/>
    </row>
    <row r="94" spans="1:9" ht="12.75">
      <c r="A94" s="3" t="s">
        <v>14</v>
      </c>
      <c r="C94" s="8">
        <v>4300</v>
      </c>
      <c r="D94" s="8">
        <v>7000</v>
      </c>
      <c r="E94" s="8">
        <v>10986</v>
      </c>
      <c r="F94" s="8">
        <v>0</v>
      </c>
      <c r="G94" s="8">
        <v>0</v>
      </c>
      <c r="H94" s="9">
        <v>0</v>
      </c>
      <c r="I94" s="8">
        <f t="shared" si="12"/>
        <v>22286</v>
      </c>
    </row>
    <row r="95" spans="1:9" ht="12.75">
      <c r="A95" s="3"/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9">
        <v>0</v>
      </c>
      <c r="I95" s="8">
        <v>0</v>
      </c>
    </row>
    <row r="96" spans="1:9" ht="12.75">
      <c r="A96" s="3"/>
      <c r="C96" s="8"/>
      <c r="D96" s="8"/>
      <c r="E96" s="8"/>
      <c r="F96" s="8"/>
      <c r="G96" s="8"/>
      <c r="H96" s="9"/>
      <c r="I96" s="8"/>
    </row>
    <row r="97" spans="1:9" ht="12.75">
      <c r="A97" s="3" t="s">
        <v>15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9">
        <v>0</v>
      </c>
      <c r="I97" s="8">
        <f>C97+D97+E97+F97+G97+H97</f>
        <v>0</v>
      </c>
    </row>
    <row r="98" spans="1:9" ht="12.75">
      <c r="A98" s="3"/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9">
        <v>0</v>
      </c>
      <c r="I98" s="8">
        <f>C98+D98+E98+F98+G98+H98</f>
        <v>0</v>
      </c>
    </row>
    <row r="99" spans="1:9" ht="12.75">
      <c r="A99" s="3"/>
      <c r="C99" s="8"/>
      <c r="D99" s="8"/>
      <c r="E99" s="8"/>
      <c r="F99" s="8"/>
      <c r="G99" s="8"/>
      <c r="H99" s="9"/>
      <c r="I99" s="8"/>
    </row>
    <row r="100" spans="1:8" ht="12.75">
      <c r="A100" s="10" t="s">
        <v>22</v>
      </c>
      <c r="C100" s="8"/>
      <c r="D100" s="8"/>
      <c r="E100" s="8"/>
      <c r="F100" s="8"/>
      <c r="G100" s="8"/>
      <c r="H100" s="9"/>
    </row>
    <row r="101" spans="1:8" ht="12.75">
      <c r="A101" s="3"/>
      <c r="C101" s="8"/>
      <c r="D101" s="8"/>
      <c r="E101" s="8"/>
      <c r="F101" s="8"/>
      <c r="G101" s="8"/>
      <c r="H101" s="9"/>
    </row>
    <row r="102" spans="1:9" ht="12.75">
      <c r="A102" s="3" t="s">
        <v>13</v>
      </c>
      <c r="C102" s="8">
        <v>-7300</v>
      </c>
      <c r="D102" s="8">
        <v>0</v>
      </c>
      <c r="E102" s="8">
        <v>-1000</v>
      </c>
      <c r="F102" s="8">
        <v>-6500</v>
      </c>
      <c r="G102" s="8">
        <v>0</v>
      </c>
      <c r="H102" s="9">
        <v>103</v>
      </c>
      <c r="I102" s="8">
        <f>C102+D102+E102+F102+G102+H102</f>
        <v>-14697</v>
      </c>
    </row>
    <row r="103" spans="1:9" ht="12.75">
      <c r="A103" s="3"/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9">
        <v>0</v>
      </c>
      <c r="I103" s="8">
        <f>C103+D103+E103+F103+G103+H103</f>
        <v>0</v>
      </c>
    </row>
    <row r="104" spans="1:9" ht="12.75">
      <c r="A104" s="3" t="s">
        <v>14</v>
      </c>
      <c r="C104" s="8">
        <v>3000</v>
      </c>
      <c r="D104" s="8">
        <v>0</v>
      </c>
      <c r="E104" s="8">
        <v>5000</v>
      </c>
      <c r="F104" s="8">
        <v>-1000</v>
      </c>
      <c r="G104" s="8">
        <v>0</v>
      </c>
      <c r="H104" s="9">
        <v>0</v>
      </c>
      <c r="I104" s="8">
        <f>C104+D104+E104+F104+G104+H104</f>
        <v>7000</v>
      </c>
    </row>
    <row r="105" spans="1:9" ht="12.75">
      <c r="A105" s="3"/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9">
        <v>0</v>
      </c>
      <c r="I105" s="8">
        <f>C105+D105+E105+F105+G105+H105</f>
        <v>0</v>
      </c>
    </row>
    <row r="106" spans="1:9" ht="12.75">
      <c r="A106" s="3"/>
      <c r="C106" s="8"/>
      <c r="D106" s="8"/>
      <c r="E106" s="8"/>
      <c r="F106" s="8"/>
      <c r="G106" s="8"/>
      <c r="H106" s="9"/>
      <c r="I106" s="8"/>
    </row>
    <row r="107" spans="1:9" ht="12.75">
      <c r="A107" s="3" t="s">
        <v>15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9">
        <v>0</v>
      </c>
      <c r="I107" s="8">
        <f>C107+D107+E107+F107+G107+H107</f>
        <v>0</v>
      </c>
    </row>
    <row r="108" spans="1:9" ht="12.75">
      <c r="A108" s="3"/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9">
        <v>0</v>
      </c>
      <c r="I108" s="8">
        <f>C108+D108+E108+F108+G108+H108</f>
        <v>0</v>
      </c>
    </row>
    <row r="109" spans="1:9" ht="12.75">
      <c r="A109" s="3"/>
      <c r="C109" s="8"/>
      <c r="D109" s="8"/>
      <c r="E109" s="8"/>
      <c r="F109" s="8"/>
      <c r="G109" s="8"/>
      <c r="H109" s="9"/>
      <c r="I109" s="8"/>
    </row>
    <row r="110" spans="1:8" ht="12.75">
      <c r="A110" s="10" t="s">
        <v>23</v>
      </c>
      <c r="C110" s="8"/>
      <c r="D110" s="8"/>
      <c r="E110" s="8"/>
      <c r="F110" s="8"/>
      <c r="G110" s="8"/>
      <c r="H110" s="9"/>
    </row>
    <row r="111" spans="1:8" ht="12.75">
      <c r="A111" s="3"/>
      <c r="C111" s="8"/>
      <c r="D111" s="8"/>
      <c r="E111" s="8"/>
      <c r="F111" s="8"/>
      <c r="G111" s="8"/>
      <c r="H111" s="9"/>
    </row>
    <row r="112" spans="1:9" ht="12.75">
      <c r="A112" s="3" t="s">
        <v>14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9">
        <v>0</v>
      </c>
      <c r="I112" s="8">
        <f>C112+D112+E112+F112+G112+H112</f>
        <v>0</v>
      </c>
    </row>
    <row r="113" spans="1:8" ht="12.75">
      <c r="A113" s="3"/>
      <c r="C113" s="8"/>
      <c r="D113" s="8"/>
      <c r="E113" s="8"/>
      <c r="F113" s="8"/>
      <c r="G113" s="8"/>
      <c r="H113" s="9"/>
    </row>
    <row r="114" spans="1:9" ht="12.75">
      <c r="A114" s="3" t="s">
        <v>15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9">
        <v>0</v>
      </c>
      <c r="I114" s="8">
        <f>C114+D114+E114+F114+G114+H114</f>
        <v>0</v>
      </c>
    </row>
    <row r="115" spans="1:9" ht="12.75">
      <c r="A115" s="3"/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9">
        <v>0</v>
      </c>
      <c r="I115" s="8">
        <f>C115+D115+E115+F115+G115+H115</f>
        <v>0</v>
      </c>
    </row>
    <row r="116" spans="1:8" ht="12.75">
      <c r="A116" s="3"/>
      <c r="C116" s="8"/>
      <c r="D116" s="8"/>
      <c r="E116" s="8"/>
      <c r="F116" s="8"/>
      <c r="G116" s="8"/>
      <c r="H116" s="9"/>
    </row>
    <row r="117" spans="1:8" ht="12.75">
      <c r="A117" s="3"/>
      <c r="C117" s="8"/>
      <c r="D117" s="8"/>
      <c r="E117" s="8"/>
      <c r="F117" s="8"/>
      <c r="G117" s="8"/>
      <c r="H117" s="9"/>
    </row>
    <row r="118" spans="1:8" ht="12.75">
      <c r="A118" s="10" t="s">
        <v>24</v>
      </c>
      <c r="B118" s="11"/>
      <c r="C118" s="12"/>
      <c r="D118" s="12"/>
      <c r="E118" s="8"/>
      <c r="F118" s="8"/>
      <c r="G118" s="8"/>
      <c r="H118" s="9"/>
    </row>
    <row r="119" spans="1:9" ht="12.75">
      <c r="A119" s="3"/>
      <c r="C119" s="8"/>
      <c r="D119" s="8"/>
      <c r="E119" s="8"/>
      <c r="F119" s="8"/>
      <c r="G119" s="8"/>
      <c r="H119" s="9"/>
      <c r="I119" s="8"/>
    </row>
    <row r="120" spans="1:9" ht="12.75">
      <c r="A120" s="17" t="s">
        <v>25</v>
      </c>
      <c r="B120" s="18"/>
      <c r="C120" s="19">
        <f>C11+C24+C52+C64+C78+C91+C102+C36</f>
        <v>89298989</v>
      </c>
      <c r="D120" s="19">
        <f>D11+D24+D52+D64+D78+D91+D102+D36</f>
        <v>29395677</v>
      </c>
      <c r="E120" s="19">
        <f>E11+E24+E52+E64+E78+E91+E102+E36</f>
        <v>31621992</v>
      </c>
      <c r="F120" s="19">
        <f>F11+F24+F52+F64+F78+F91+F102+F36</f>
        <v>60641182</v>
      </c>
      <c r="G120" s="19">
        <f>G11+G24+G52+G64+G78+G91+G102+G36</f>
        <v>2201307</v>
      </c>
      <c r="H120" s="21">
        <f>H11+H24+H52+H64+H78+H91+H102+H36</f>
        <v>3469484</v>
      </c>
      <c r="I120" s="19">
        <f>C120+D120+E120+F120+G120+H120</f>
        <v>216628631</v>
      </c>
    </row>
    <row r="121" spans="1:9" ht="12.75">
      <c r="A121" s="3"/>
      <c r="C121" s="20">
        <f>C12+C25+C53+C65+C79+C92</f>
        <v>-79365859</v>
      </c>
      <c r="D121" s="20">
        <f>D12+D25+D53+D65+D79+D92</f>
        <v>-27420968</v>
      </c>
      <c r="E121" s="20">
        <f>E12+E25+E53+E65+E79+E92</f>
        <v>-29199602</v>
      </c>
      <c r="F121" s="20">
        <f>F12+F25+F53+F65+F79+F92</f>
        <v>-56090637</v>
      </c>
      <c r="G121" s="20">
        <f>G12+G25+G53+G65+G79+G92</f>
        <v>-1992164</v>
      </c>
      <c r="H121" s="9">
        <f>H12+H25+H53+H65+H79+H92</f>
        <v>-3077692</v>
      </c>
      <c r="I121" s="20">
        <f>C121+D121+E121+F121+G121+H121</f>
        <v>-197146922</v>
      </c>
    </row>
    <row r="122" spans="1:9" ht="12.75">
      <c r="A122" s="3"/>
      <c r="C122" s="8"/>
      <c r="D122" s="8"/>
      <c r="E122" s="8"/>
      <c r="F122" s="8"/>
      <c r="G122" s="8"/>
      <c r="H122" s="9"/>
      <c r="I122" s="20"/>
    </row>
    <row r="123" spans="1:9" ht="12.75">
      <c r="A123" s="3" t="s">
        <v>26</v>
      </c>
      <c r="B123" s="2"/>
      <c r="C123" s="8">
        <f>C14+C27+C55+C67+C81+C104+C39+C94+C112</f>
        <v>1359959</v>
      </c>
      <c r="D123" s="8">
        <f>D14+D27+D55+D67+D81+D104+D39+D94+D112</f>
        <v>5836602</v>
      </c>
      <c r="E123" s="8">
        <f>E14+E27+E55+E67+E81+E104+E39+E94+E112</f>
        <v>7422725</v>
      </c>
      <c r="F123" s="8">
        <f>F14+F27+F55+F67+F81+F104+F39+F94+F112</f>
        <v>2183631</v>
      </c>
      <c r="G123" s="8">
        <f>G14+G27+G55+G67+G81+G104+G39+G94+G112</f>
        <v>91643</v>
      </c>
      <c r="H123" s="9">
        <f>H14+H27+H55+H67+H81+H104+H39+H94+H112</f>
        <v>131300</v>
      </c>
      <c r="I123" s="8">
        <f>C123+D123+E123+F123+G123+H123</f>
        <v>17025860</v>
      </c>
    </row>
    <row r="124" spans="1:12" ht="12.75">
      <c r="A124" s="3"/>
      <c r="B124" s="3"/>
      <c r="C124" s="8">
        <f>C15+C28+C56+C68+C82+C105+C40</f>
        <v>-1115294</v>
      </c>
      <c r="D124" s="8">
        <f>D15+D28+D56+D68+D82+D105+D40</f>
        <v>-5815244</v>
      </c>
      <c r="E124" s="8">
        <f>E15+E28+E56+E68+E82+E105+E40</f>
        <v>-7337348</v>
      </c>
      <c r="F124" s="8">
        <f>F15+F28+F56+F68+F82+F105+F40</f>
        <v>-1996388</v>
      </c>
      <c r="G124" s="8">
        <f>G15+G28+G56+G68+G82+G105+G40</f>
        <v>-45500</v>
      </c>
      <c r="H124" s="9">
        <f>H15+H28+H56+H68+H82+H105+H40</f>
        <v>-113350</v>
      </c>
      <c r="I124" s="8">
        <f>C124+D124+E124+F124+G124+H124</f>
        <v>-16423124</v>
      </c>
      <c r="L124" s="8"/>
    </row>
    <row r="125" spans="1:12" ht="12.75">
      <c r="A125" s="3"/>
      <c r="B125" s="3"/>
      <c r="C125" s="8"/>
      <c r="D125" s="8"/>
      <c r="E125" s="8"/>
      <c r="F125" s="8"/>
      <c r="G125" s="8"/>
      <c r="H125" s="9"/>
      <c r="I125" s="20"/>
      <c r="L125" s="8"/>
    </row>
    <row r="126" spans="1:9" ht="12.75">
      <c r="A126" s="3" t="s">
        <v>27</v>
      </c>
      <c r="B126" s="3"/>
      <c r="C126" s="8">
        <f>C17+C30+C42+C58+C70+C84+C97+C107+C114</f>
        <v>3037267</v>
      </c>
      <c r="D126" s="8">
        <f>D17+D30+D42+D58+D70+D84+D97+D107+D114</f>
        <v>2827109</v>
      </c>
      <c r="E126" s="8">
        <f>E17+E30+E42+E58+E70+E84+E97+E107+E114</f>
        <v>5201046</v>
      </c>
      <c r="F126" s="8">
        <f>F17+F30+F42+F58+F70+F84+F97+F107+F114</f>
        <v>3260476</v>
      </c>
      <c r="G126" s="8">
        <f>G17+G30+G42+G58+G70+G84+G97+G107+G114</f>
        <v>67800</v>
      </c>
      <c r="H126" s="9">
        <f>H17+H30+H42+H58+H70+H84+H97+H107+H114</f>
        <v>167679</v>
      </c>
      <c r="I126" s="8">
        <f>C126+D126+E126+F126+G126+H126</f>
        <v>14561377</v>
      </c>
    </row>
    <row r="127" spans="1:9" ht="12.75">
      <c r="A127" s="3"/>
      <c r="B127" s="3"/>
      <c r="C127" s="8">
        <f>C18+C31+C43+C59+C71+C85+C98+C108+C115</f>
        <v>-3037267</v>
      </c>
      <c r="D127" s="8">
        <f>D18+D31+D43+D59+D71+D85+D98+D108+D115</f>
        <v>-2827109</v>
      </c>
      <c r="E127" s="8">
        <f>E18+E31+E43+E59+E71+E85+E98+E108+E115</f>
        <v>-5201046</v>
      </c>
      <c r="F127" s="8">
        <f>F18+F31+F43+F59+F71+F85+F98+F108+F115</f>
        <v>-3260476</v>
      </c>
      <c r="G127" s="8">
        <f>G18+G31+G43+G59+G71+G85+G98+G108+G115</f>
        <v>-67800</v>
      </c>
      <c r="H127" s="9">
        <f>H18+H31+H43+H59+H71+H85+H98+H108+H115</f>
        <v>-167679</v>
      </c>
      <c r="I127" s="8">
        <f>C127+D127+E127+F127+G127+H127</f>
        <v>-14561377</v>
      </c>
    </row>
    <row r="128" spans="1:9" ht="12.75">
      <c r="A128" s="3"/>
      <c r="B128" s="3"/>
      <c r="C128" s="8"/>
      <c r="D128" s="8"/>
      <c r="E128" s="8"/>
      <c r="F128" s="8"/>
      <c r="G128" s="8"/>
      <c r="H128" s="9"/>
      <c r="I128" s="20"/>
    </row>
    <row r="129" spans="1:9" ht="12.75">
      <c r="A129" s="3"/>
      <c r="B129" s="2"/>
      <c r="C129" s="8"/>
      <c r="D129" s="8"/>
      <c r="E129" s="8"/>
      <c r="F129" s="8"/>
      <c r="G129" s="8"/>
      <c r="H129" s="9"/>
      <c r="I129" s="20"/>
    </row>
    <row r="130" spans="1:9" ht="12.75">
      <c r="A130" s="3"/>
      <c r="B130" s="3"/>
      <c r="C130" s="8"/>
      <c r="D130" s="8"/>
      <c r="E130" s="8"/>
      <c r="F130" s="8"/>
      <c r="G130" s="8"/>
      <c r="H130" s="9"/>
      <c r="I130" s="20"/>
    </row>
    <row r="131" spans="1:9" ht="12.75">
      <c r="A131" s="17" t="s">
        <v>28</v>
      </c>
      <c r="B131" s="17"/>
      <c r="C131" s="19">
        <f>C8+C49+C91+C94+C97</f>
        <v>30851442</v>
      </c>
      <c r="D131" s="19">
        <f>D8+D49+D91+D94+D97</f>
        <v>33025433</v>
      </c>
      <c r="E131" s="19">
        <f>E8+E49+E91+E94+E97</f>
        <v>16159590</v>
      </c>
      <c r="F131" s="19">
        <f>F8+F49+F91+F94+F97</f>
        <v>24436469</v>
      </c>
      <c r="G131" s="19">
        <f>G8+G49+G91+G94+G97</f>
        <v>1210549</v>
      </c>
      <c r="H131" s="21">
        <f>H8+H49+H91+H94+H97</f>
        <v>1616827</v>
      </c>
      <c r="I131" s="19">
        <f>C131+D131+E131+F131+G131+H131</f>
        <v>107300310</v>
      </c>
    </row>
    <row r="132" spans="1:9" ht="12.75">
      <c r="A132" s="3"/>
      <c r="B132" s="3"/>
      <c r="C132" s="20">
        <f>C9+C50+C98</f>
        <v>-27143271</v>
      </c>
      <c r="D132" s="20">
        <f>D9+D50+D98</f>
        <v>-31337009</v>
      </c>
      <c r="E132" s="20">
        <f>E9+E50+E98</f>
        <v>-14940622</v>
      </c>
      <c r="F132" s="20">
        <f>F9+F50+F98</f>
        <v>-22573672</v>
      </c>
      <c r="G132" s="20">
        <f>G9+G50+G98</f>
        <v>-1110549</v>
      </c>
      <c r="H132" s="9">
        <f>H9+H50+H98</f>
        <v>-1438541</v>
      </c>
      <c r="I132" s="20">
        <f>C132+D132+E132+F132+G132+H132</f>
        <v>-98543664</v>
      </c>
    </row>
    <row r="133" spans="1:9" ht="12.75">
      <c r="A133" s="3"/>
      <c r="B133" s="3"/>
      <c r="C133" s="8"/>
      <c r="D133" s="8"/>
      <c r="E133" s="8"/>
      <c r="F133" s="8"/>
      <c r="G133" s="8"/>
      <c r="H133" s="9"/>
      <c r="I133" s="20"/>
    </row>
    <row r="134" spans="1:9" ht="12.75">
      <c r="A134" s="3" t="s">
        <v>29</v>
      </c>
      <c r="B134" s="2"/>
      <c r="C134" s="8">
        <f>C21+C61+C104+C107+C102</f>
        <v>62825773</v>
      </c>
      <c r="D134" s="8">
        <f>D21+D61+D104+D107+D102</f>
        <v>4807803</v>
      </c>
      <c r="E134" s="8">
        <f>E21+E61+E104+E107+E102</f>
        <v>27996027</v>
      </c>
      <c r="F134" s="8">
        <f>F21+F61+F104+F107+F102</f>
        <v>41567010</v>
      </c>
      <c r="G134" s="8">
        <f>G21+G61+G104+G107+G102</f>
        <v>1146201</v>
      </c>
      <c r="H134" s="9">
        <f>H21+H61+H104+H107+H102</f>
        <v>2146536</v>
      </c>
      <c r="I134" s="8">
        <f>C134+D134+E134+F134+G134+H134</f>
        <v>140489350</v>
      </c>
    </row>
    <row r="135" spans="1:12" ht="12.75">
      <c r="A135" s="3"/>
      <c r="C135" s="8">
        <f>C22+C62+C105+C108</f>
        <v>-56356649</v>
      </c>
      <c r="D135" s="8">
        <f>D22+D62+D105+D108</f>
        <v>-4505160</v>
      </c>
      <c r="E135" s="8">
        <f>E22+E62+E105+E108</f>
        <v>-26708228</v>
      </c>
      <c r="F135" s="8">
        <f>F22+F62+F105+F108</f>
        <v>-38695519</v>
      </c>
      <c r="G135" s="8">
        <f>G22+G62+G105+G108</f>
        <v>-990915</v>
      </c>
      <c r="H135" s="9">
        <f>H22+H62+H105+H108</f>
        <v>-1917080</v>
      </c>
      <c r="I135" s="8">
        <f>I22+I62+I105+I108</f>
        <v>-129173551</v>
      </c>
      <c r="L135" s="8"/>
    </row>
    <row r="136" spans="1:12" ht="12.75">
      <c r="A136" s="3"/>
      <c r="C136" s="8"/>
      <c r="D136" s="8"/>
      <c r="E136" s="8"/>
      <c r="F136" s="8"/>
      <c r="G136" s="8"/>
      <c r="H136" s="9"/>
      <c r="I136" s="20"/>
      <c r="L136" s="8"/>
    </row>
    <row r="137" spans="1:9" ht="12.75">
      <c r="A137" s="3" t="s">
        <v>30</v>
      </c>
      <c r="C137" s="8">
        <f>C33+C75+C112+C114</f>
        <v>19000</v>
      </c>
      <c r="D137" s="8">
        <f>D33+D75+D112+D114</f>
        <v>226152</v>
      </c>
      <c r="E137" s="8">
        <f>E33+E75+E112+E114</f>
        <v>90146</v>
      </c>
      <c r="F137" s="8">
        <f>F33+F75+F112+F114</f>
        <v>81810</v>
      </c>
      <c r="G137" s="8">
        <f>G33+G75+G112+G114</f>
        <v>4000</v>
      </c>
      <c r="H137" s="9">
        <f>H33+H75+H112+H114</f>
        <v>5100</v>
      </c>
      <c r="I137" s="20">
        <f>C137+D137+E137+F137+G137+H137</f>
        <v>426208</v>
      </c>
    </row>
    <row r="138" spans="1:9" ht="12.75">
      <c r="A138" s="3"/>
      <c r="C138" s="8">
        <f>C34+C76+C115</f>
        <v>-18500</v>
      </c>
      <c r="D138" s="8">
        <f>D34+D76+D115</f>
        <v>-221152</v>
      </c>
      <c r="E138" s="8">
        <f>E34+E76+E115</f>
        <v>-89146</v>
      </c>
      <c r="F138" s="8">
        <f>F34+F76+F115</f>
        <v>-78310</v>
      </c>
      <c r="G138" s="8">
        <f>G34+G76+G115</f>
        <v>-4000</v>
      </c>
      <c r="H138" s="9">
        <f>H34+H76+H115</f>
        <v>-3100</v>
      </c>
      <c r="I138" s="20">
        <f>C138+D138+E138+F138+G138+H138</f>
        <v>-414208</v>
      </c>
    </row>
    <row r="139" spans="1:9" ht="12.75">
      <c r="A139" s="3"/>
      <c r="C139" s="8"/>
      <c r="D139" s="8"/>
      <c r="E139" s="8"/>
      <c r="F139" s="8"/>
      <c r="G139" s="8"/>
      <c r="H139" s="9"/>
      <c r="I139" s="20"/>
    </row>
    <row r="140" spans="1:9" ht="12.75">
      <c r="A140" s="3"/>
      <c r="C140" s="8"/>
      <c r="D140" s="8"/>
      <c r="E140" s="8"/>
      <c r="F140" s="8"/>
      <c r="G140" s="8"/>
      <c r="H140" s="9"/>
      <c r="I140" s="20"/>
    </row>
    <row r="141" spans="1:9" ht="12.75">
      <c r="A141" s="17" t="s">
        <v>10</v>
      </c>
      <c r="B141" s="18"/>
      <c r="C141" s="19">
        <f aca="true" t="shared" si="15" ref="C141:I142">C131+C134+C137</f>
        <v>93696215</v>
      </c>
      <c r="D141" s="19">
        <f t="shared" si="15"/>
        <v>38059388</v>
      </c>
      <c r="E141" s="19">
        <f t="shared" si="15"/>
        <v>44245763</v>
      </c>
      <c r="F141" s="19">
        <f t="shared" si="15"/>
        <v>66085289</v>
      </c>
      <c r="G141" s="19">
        <f t="shared" si="15"/>
        <v>2360750</v>
      </c>
      <c r="H141" s="21">
        <f t="shared" si="15"/>
        <v>3768463</v>
      </c>
      <c r="I141" s="19">
        <f t="shared" si="15"/>
        <v>248215868</v>
      </c>
    </row>
    <row r="142" spans="1:9" ht="12.75">
      <c r="A142" s="10"/>
      <c r="B142" s="11"/>
      <c r="C142" s="12">
        <f t="shared" si="15"/>
        <v>-83518420</v>
      </c>
      <c r="D142" s="12">
        <f t="shared" si="15"/>
        <v>-36063321</v>
      </c>
      <c r="E142" s="12">
        <f t="shared" si="15"/>
        <v>-41737996</v>
      </c>
      <c r="F142" s="12">
        <f t="shared" si="15"/>
        <v>-61347501</v>
      </c>
      <c r="G142" s="12">
        <f t="shared" si="15"/>
        <v>-2105464</v>
      </c>
      <c r="H142" s="13">
        <f t="shared" si="15"/>
        <v>-3358721</v>
      </c>
      <c r="I142" s="12">
        <f t="shared" si="15"/>
        <v>-228131423</v>
      </c>
    </row>
    <row r="145" ht="12.75">
      <c r="E145" s="8"/>
    </row>
    <row r="146" ht="12.75">
      <c r="E146" s="8"/>
    </row>
  </sheetData>
  <printOptions/>
  <pageMargins left="0.75" right="0.7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2006-08-24T19:05:36Z</cp:lastPrinted>
  <dcterms:created xsi:type="dcterms:W3CDTF">2006-08-24T18:35:54Z</dcterms:created>
  <dcterms:modified xsi:type="dcterms:W3CDTF">2006-08-24T19:05:53Z</dcterms:modified>
  <cp:category/>
  <cp:version/>
  <cp:contentType/>
  <cp:contentStatus/>
</cp:coreProperties>
</file>