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1486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'Sheet1'!$A$1:$J$82</definedName>
  </definedNames>
  <calcPr fullCalcOnLoad="1"/>
</workbook>
</file>

<file path=xl/sharedStrings.xml><?xml version="1.0" encoding="utf-8"?>
<sst xmlns="http://schemas.openxmlformats.org/spreadsheetml/2006/main" count="148" uniqueCount="53">
  <si>
    <t xml:space="preserve">Summary of PAC Activity </t>
  </si>
  <si>
    <t>No. of</t>
  </si>
  <si>
    <t>Total</t>
  </si>
  <si>
    <t>Contributions</t>
  </si>
  <si>
    <t>Cash on</t>
  </si>
  <si>
    <t>Debts owed</t>
  </si>
  <si>
    <t>Committee Type</t>
  </si>
  <si>
    <t>Cmte's</t>
  </si>
  <si>
    <t>Receipts</t>
  </si>
  <si>
    <t>Disbursements</t>
  </si>
  <si>
    <t>to Candidates</t>
  </si>
  <si>
    <t>Hand</t>
  </si>
  <si>
    <t>By</t>
  </si>
  <si>
    <t>Corporate</t>
  </si>
  <si>
    <t>2001-2002</t>
  </si>
  <si>
    <t>1999-2000</t>
  </si>
  <si>
    <t>1997-98</t>
  </si>
  <si>
    <t>1995-96</t>
  </si>
  <si>
    <t>1993-94</t>
  </si>
  <si>
    <t>1991-92</t>
  </si>
  <si>
    <t>1989-90</t>
  </si>
  <si>
    <t>Labor</t>
  </si>
  <si>
    <t>Non Connected</t>
  </si>
  <si>
    <t>Trade/Membership/Health</t>
  </si>
  <si>
    <t>Cooperative</t>
  </si>
  <si>
    <t>Corporation without Stock</t>
  </si>
  <si>
    <t>2003-2004</t>
  </si>
  <si>
    <t>2005-2006</t>
  </si>
  <si>
    <t>2007-2008</t>
  </si>
  <si>
    <t>Independent</t>
  </si>
  <si>
    <t>Expenditures</t>
  </si>
  <si>
    <t>1990-2008</t>
  </si>
  <si>
    <t>for Dem</t>
  </si>
  <si>
    <t>for Rep</t>
  </si>
  <si>
    <t>against Rep</t>
  </si>
  <si>
    <t>against Dem</t>
  </si>
  <si>
    <t>dem</t>
  </si>
  <si>
    <t>rep</t>
  </si>
  <si>
    <t>to Parties</t>
  </si>
  <si>
    <t>Dem</t>
  </si>
  <si>
    <t>Rep</t>
  </si>
  <si>
    <t>corporate</t>
  </si>
  <si>
    <t>labor</t>
  </si>
  <si>
    <t>nonconnected</t>
  </si>
  <si>
    <t>trade</t>
  </si>
  <si>
    <t>coop</t>
  </si>
  <si>
    <t>no stock</t>
  </si>
  <si>
    <t>pac to party 2008</t>
  </si>
  <si>
    <t>pac to party 2006</t>
  </si>
  <si>
    <t>pac to party 2004</t>
  </si>
  <si>
    <t>pac to party 2002</t>
  </si>
  <si>
    <t>pac to party 2000</t>
  </si>
  <si>
    <t>Table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</si>
</sst>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5" fontId="1" fillId="0" borderId="0" xfId="0" applyNumberFormat="1" applyFont="1" applyAlignment="1">
      <alignment horizontal="center"/>
    </xf>
    <xf numFmtId="5" fontId="1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5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A1">
      <selection activeCell="J82" sqref="A1:J82"/>
    </sheetView>
  </sheetViews>
  <sheetFormatPr defaultColWidth="9.140625" defaultRowHeight="12.75"/>
  <cols>
    <col min="4" max="5" width="14.28125" style="0" customWidth="1"/>
    <col min="6" max="6" width="15.28125" style="0" customWidth="1"/>
    <col min="7" max="9" width="13.7109375" style="0" customWidth="1"/>
    <col min="10" max="11" width="13.28125" style="0" customWidth="1"/>
    <col min="12" max="14" width="11.28125" style="0" customWidth="1"/>
    <col min="18" max="18" width="9.00390625" style="16" customWidth="1"/>
  </cols>
  <sheetData>
    <row r="1" spans="1:10" ht="15.7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"/>
      <c r="L2" s="2"/>
      <c r="M2" s="2"/>
      <c r="N2" s="2"/>
    </row>
    <row r="3" spans="1:14" ht="15.7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  <c r="N3" s="2"/>
    </row>
    <row r="4" spans="3:14" ht="12.75">
      <c r="C4" s="1" t="s">
        <v>1</v>
      </c>
      <c r="D4" s="2" t="s">
        <v>2</v>
      </c>
      <c r="E4" s="2" t="s">
        <v>2</v>
      </c>
      <c r="F4" s="2" t="s">
        <v>3</v>
      </c>
      <c r="G4" s="20" t="s">
        <v>29</v>
      </c>
      <c r="H4" s="20" t="s">
        <v>3</v>
      </c>
      <c r="I4" s="2" t="s">
        <v>4</v>
      </c>
      <c r="J4" s="2" t="s">
        <v>5</v>
      </c>
      <c r="K4" s="2"/>
      <c r="L4" s="2"/>
      <c r="M4" s="2"/>
      <c r="N4" s="2"/>
    </row>
    <row r="5" spans="1:14" ht="12.75">
      <c r="A5" s="3" t="s">
        <v>6</v>
      </c>
      <c r="B5" s="4"/>
      <c r="C5" s="5" t="s">
        <v>7</v>
      </c>
      <c r="D5" s="6" t="s">
        <v>8</v>
      </c>
      <c r="E5" s="6" t="s">
        <v>9</v>
      </c>
      <c r="F5" s="6" t="s">
        <v>10</v>
      </c>
      <c r="G5" s="21" t="s">
        <v>30</v>
      </c>
      <c r="H5" s="21" t="s">
        <v>38</v>
      </c>
      <c r="I5" s="6" t="s">
        <v>11</v>
      </c>
      <c r="J5" s="6" t="s">
        <v>12</v>
      </c>
      <c r="K5" s="17"/>
      <c r="L5" s="17"/>
      <c r="M5" s="17"/>
      <c r="N5" s="17"/>
    </row>
    <row r="6" spans="1:14" ht="15.75">
      <c r="A6" s="24" t="s">
        <v>13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9" t="s">
        <v>28</v>
      </c>
      <c r="C7" s="7">
        <v>1779</v>
      </c>
      <c r="D7" s="8">
        <v>313350975</v>
      </c>
      <c r="E7" s="8">
        <v>298620822</v>
      </c>
      <c r="F7" s="8">
        <v>158323496</v>
      </c>
      <c r="G7" s="8">
        <v>221207</v>
      </c>
      <c r="H7" s="8">
        <v>22481097</v>
      </c>
      <c r="I7" s="8">
        <v>99711260</v>
      </c>
      <c r="J7" s="8">
        <v>211248</v>
      </c>
      <c r="K7" s="8"/>
      <c r="L7" s="8"/>
      <c r="M7" s="8"/>
      <c r="N7" s="8"/>
    </row>
    <row r="8" spans="1:15" ht="12.75">
      <c r="A8" s="9" t="s">
        <v>27</v>
      </c>
      <c r="C8" s="7">
        <v>1808</v>
      </c>
      <c r="D8" s="8">
        <v>278345927</v>
      </c>
      <c r="E8" s="8">
        <v>277846209</v>
      </c>
      <c r="F8" s="8">
        <v>135925970</v>
      </c>
      <c r="G8" s="8">
        <f>247273+3072</f>
        <v>250345</v>
      </c>
      <c r="H8" s="8">
        <v>19677655</v>
      </c>
      <c r="I8" s="8">
        <v>85453476</v>
      </c>
      <c r="J8" s="8">
        <v>174098</v>
      </c>
      <c r="K8" s="8"/>
      <c r="L8" s="8"/>
      <c r="M8" s="19"/>
      <c r="N8" s="8"/>
      <c r="O8" s="19"/>
    </row>
    <row r="9" spans="1:16" ht="12.75">
      <c r="A9" s="15" t="s">
        <v>26</v>
      </c>
      <c r="C9" s="7">
        <v>1756</v>
      </c>
      <c r="D9" s="8">
        <v>238984115</v>
      </c>
      <c r="E9" s="8">
        <v>221602957</v>
      </c>
      <c r="F9" s="8">
        <v>115641547</v>
      </c>
      <c r="G9" s="8">
        <f>223729</f>
        <v>223729</v>
      </c>
      <c r="H9" s="8">
        <v>18721532</v>
      </c>
      <c r="I9" s="8">
        <v>77887321</v>
      </c>
      <c r="J9" s="8">
        <v>238885</v>
      </c>
      <c r="K9" s="8"/>
      <c r="L9" s="8"/>
      <c r="M9" s="19"/>
      <c r="N9" s="8"/>
      <c r="O9" s="16"/>
      <c r="P9" s="16"/>
    </row>
    <row r="10" spans="1:16" ht="12.75">
      <c r="A10" s="9" t="s">
        <v>14</v>
      </c>
      <c r="C10" s="7">
        <v>1741</v>
      </c>
      <c r="D10" s="8">
        <v>191656789</v>
      </c>
      <c r="E10" s="8">
        <v>178277372</v>
      </c>
      <c r="F10" s="8">
        <v>99577798</v>
      </c>
      <c r="G10" s="8">
        <f>52190</f>
        <v>52190</v>
      </c>
      <c r="H10" s="8">
        <v>8329254</v>
      </c>
      <c r="I10" s="8">
        <v>60419821</v>
      </c>
      <c r="J10" s="8">
        <v>602558</v>
      </c>
      <c r="K10" s="8"/>
      <c r="L10" s="8"/>
      <c r="M10" s="19"/>
      <c r="N10" s="8"/>
      <c r="O10" s="16"/>
      <c r="P10" s="16"/>
    </row>
    <row r="11" spans="1:16" ht="12.75">
      <c r="A11" s="9" t="s">
        <v>15</v>
      </c>
      <c r="C11" s="7">
        <v>1725</v>
      </c>
      <c r="D11" s="8">
        <v>164454559</v>
      </c>
      <c r="E11" s="8">
        <v>158329869</v>
      </c>
      <c r="F11" s="8">
        <v>91525699</v>
      </c>
      <c r="G11" s="8">
        <v>137535</v>
      </c>
      <c r="H11" s="8">
        <v>9530704</v>
      </c>
      <c r="I11" s="8">
        <v>47911630</v>
      </c>
      <c r="J11" s="8">
        <v>276063</v>
      </c>
      <c r="K11" s="8"/>
      <c r="L11" s="8"/>
      <c r="M11" s="19"/>
      <c r="N11" s="8"/>
      <c r="O11" s="16"/>
      <c r="P11" s="16"/>
    </row>
    <row r="12" spans="1:16" ht="12.75">
      <c r="A12" s="10" t="s">
        <v>16</v>
      </c>
      <c r="C12" s="7">
        <v>1821</v>
      </c>
      <c r="D12" s="8">
        <v>144115389</v>
      </c>
      <c r="E12" s="8">
        <v>137570423</v>
      </c>
      <c r="F12" s="8">
        <v>78018750</v>
      </c>
      <c r="G12" s="8">
        <v>54268</v>
      </c>
      <c r="H12" s="8">
        <v>8375946</v>
      </c>
      <c r="I12" s="8">
        <v>41087447</v>
      </c>
      <c r="J12" s="8">
        <v>573964</v>
      </c>
      <c r="K12" s="8"/>
      <c r="L12" s="8"/>
      <c r="M12" s="19"/>
      <c r="N12" s="8"/>
      <c r="O12" s="16"/>
      <c r="P12" s="16"/>
    </row>
    <row r="13" spans="1:16" ht="12.75">
      <c r="A13" t="s">
        <v>17</v>
      </c>
      <c r="C13" s="7">
        <v>1836</v>
      </c>
      <c r="D13" s="8">
        <v>133793654</v>
      </c>
      <c r="E13" s="8">
        <v>130624843</v>
      </c>
      <c r="F13" s="8">
        <v>78194723</v>
      </c>
      <c r="G13" s="8">
        <v>375797</v>
      </c>
      <c r="H13" s="8">
        <v>8845891</v>
      </c>
      <c r="I13" s="8">
        <v>34362856</v>
      </c>
      <c r="J13" s="8">
        <v>792307</v>
      </c>
      <c r="K13" s="8"/>
      <c r="L13" s="8"/>
      <c r="M13" s="19"/>
      <c r="N13" s="8"/>
      <c r="O13" s="16"/>
      <c r="P13" s="16"/>
    </row>
    <row r="14" spans="1:16" ht="12.75">
      <c r="A14" t="s">
        <v>18</v>
      </c>
      <c r="C14" s="7">
        <v>1875</v>
      </c>
      <c r="D14" s="8">
        <v>114995661</v>
      </c>
      <c r="E14" s="8">
        <v>116814143</v>
      </c>
      <c r="F14" s="8">
        <v>69610433</v>
      </c>
      <c r="G14" s="8">
        <v>38289</v>
      </c>
      <c r="H14" s="8">
        <v>6786082</v>
      </c>
      <c r="I14" s="8">
        <v>31182618</v>
      </c>
      <c r="J14" s="8">
        <v>233601</v>
      </c>
      <c r="K14" s="8"/>
      <c r="L14" s="8"/>
      <c r="M14" s="19"/>
      <c r="N14" s="8"/>
      <c r="O14" s="16"/>
      <c r="P14" s="16"/>
    </row>
    <row r="15" spans="1:16" ht="12.75">
      <c r="A15" t="s">
        <v>19</v>
      </c>
      <c r="C15" s="7">
        <v>1930</v>
      </c>
      <c r="D15" s="8">
        <v>112517482</v>
      </c>
      <c r="E15" s="8">
        <v>112389798</v>
      </c>
      <c r="F15" s="8">
        <v>68430976</v>
      </c>
      <c r="G15" s="8">
        <v>47883</v>
      </c>
      <c r="H15" s="8">
        <v>6261167</v>
      </c>
      <c r="I15" s="8">
        <v>32935787</v>
      </c>
      <c r="J15" s="8">
        <v>146736</v>
      </c>
      <c r="K15" s="8"/>
      <c r="L15" s="8"/>
      <c r="M15" s="19"/>
      <c r="N15" s="8"/>
      <c r="O15" s="16"/>
      <c r="P15" s="16"/>
    </row>
    <row r="16" spans="1:16" ht="12.75">
      <c r="A16" t="s">
        <v>20</v>
      </c>
      <c r="C16" s="7">
        <v>1972</v>
      </c>
      <c r="D16" s="8">
        <v>106474773</v>
      </c>
      <c r="E16" s="8">
        <v>101055267</v>
      </c>
      <c r="F16" s="8">
        <v>58131722</v>
      </c>
      <c r="G16" s="8">
        <v>16519</v>
      </c>
      <c r="H16" s="8">
        <v>4695039</v>
      </c>
      <c r="I16" s="8">
        <v>32863915</v>
      </c>
      <c r="J16" s="8">
        <v>124988</v>
      </c>
      <c r="K16" s="8"/>
      <c r="L16" s="8"/>
      <c r="M16" s="8"/>
      <c r="N16" s="8"/>
      <c r="O16" s="16"/>
      <c r="P16" s="16"/>
    </row>
    <row r="17" spans="1:14" ht="15.75">
      <c r="A17" s="24" t="s">
        <v>21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9" t="s">
        <v>28</v>
      </c>
      <c r="C18" s="7">
        <v>296</v>
      </c>
      <c r="D18" s="8">
        <v>262055837</v>
      </c>
      <c r="E18" s="8">
        <v>264952447</v>
      </c>
      <c r="F18" s="8">
        <v>62675294</v>
      </c>
      <c r="G18" s="8">
        <v>58630780</v>
      </c>
      <c r="H18" s="8">
        <v>6694492</v>
      </c>
      <c r="I18" s="8">
        <v>77227622</v>
      </c>
      <c r="J18" s="8">
        <v>7618507</v>
      </c>
      <c r="K18" s="8"/>
      <c r="L18" s="8"/>
      <c r="M18" s="8"/>
      <c r="N18" s="8"/>
    </row>
    <row r="19" spans="1:15" ht="12.75">
      <c r="A19" s="9" t="s">
        <v>27</v>
      </c>
      <c r="C19" s="7">
        <v>312</v>
      </c>
      <c r="D19" s="8">
        <v>218185504</v>
      </c>
      <c r="E19" s="8">
        <v>197386182</v>
      </c>
      <c r="F19" s="8">
        <v>55815069</v>
      </c>
      <c r="G19" s="8">
        <f>4190105+5866342</f>
        <v>10056447</v>
      </c>
      <c r="H19" s="8">
        <v>6475889</v>
      </c>
      <c r="I19" s="8">
        <v>79880417</v>
      </c>
      <c r="J19" s="8">
        <v>4253743</v>
      </c>
      <c r="K19" s="8"/>
      <c r="L19" s="8"/>
      <c r="M19" s="19"/>
      <c r="N19" s="8"/>
      <c r="O19" s="19"/>
    </row>
    <row r="20" spans="1:16" ht="12.75">
      <c r="A20" s="15" t="s">
        <v>26</v>
      </c>
      <c r="C20" s="7">
        <v>328</v>
      </c>
      <c r="D20" s="8">
        <v>191651043</v>
      </c>
      <c r="E20" s="8">
        <v>182949736</v>
      </c>
      <c r="F20" s="8">
        <v>52103572</v>
      </c>
      <c r="G20" s="8">
        <f>19469562+1267811</f>
        <v>20737373</v>
      </c>
      <c r="H20" s="8">
        <v>6400463</v>
      </c>
      <c r="I20" s="8">
        <v>60642326</v>
      </c>
      <c r="J20" s="8">
        <v>3202361</v>
      </c>
      <c r="K20" s="8"/>
      <c r="L20" s="8"/>
      <c r="M20" s="19"/>
      <c r="N20" s="8"/>
      <c r="O20" s="16"/>
      <c r="P20" s="16"/>
    </row>
    <row r="21" spans="1:16" ht="12.75">
      <c r="A21" s="9" t="s">
        <v>14</v>
      </c>
      <c r="C21" s="7">
        <v>337</v>
      </c>
      <c r="D21" s="8">
        <v>167820067</v>
      </c>
      <c r="E21" s="8">
        <v>157972836</v>
      </c>
      <c r="F21" s="8">
        <v>53897795</v>
      </c>
      <c r="G21" s="8">
        <f>3546994+12525</f>
        <v>3559519</v>
      </c>
      <c r="H21" s="8">
        <v>5319285</v>
      </c>
      <c r="I21" s="8">
        <v>53357427</v>
      </c>
      <c r="J21" s="8">
        <v>135603</v>
      </c>
      <c r="K21" s="8"/>
      <c r="L21" s="8"/>
      <c r="M21" s="19"/>
      <c r="N21" s="8"/>
      <c r="O21" s="16"/>
      <c r="P21" s="16"/>
    </row>
    <row r="22" spans="1:16" ht="12.75">
      <c r="A22" s="9" t="s">
        <v>15</v>
      </c>
      <c r="C22" s="7">
        <v>350</v>
      </c>
      <c r="D22" s="8">
        <v>136011151</v>
      </c>
      <c r="E22" s="8">
        <v>128692390</v>
      </c>
      <c r="F22" s="8">
        <v>51573364</v>
      </c>
      <c r="G22" s="8">
        <v>2825840</v>
      </c>
      <c r="H22" s="8">
        <v>6216959</v>
      </c>
      <c r="I22" s="8">
        <v>43648139</v>
      </c>
      <c r="J22" s="8">
        <v>138558</v>
      </c>
      <c r="K22" s="8"/>
      <c r="L22" s="8"/>
      <c r="M22" s="19"/>
      <c r="N22" s="8"/>
      <c r="O22" s="16"/>
      <c r="P22" s="16"/>
    </row>
    <row r="23" spans="1:16" ht="12.75">
      <c r="A23" s="10" t="s">
        <v>16</v>
      </c>
      <c r="C23" s="7">
        <v>353</v>
      </c>
      <c r="D23" s="8">
        <v>111312402</v>
      </c>
      <c r="E23" s="8">
        <v>98247303</v>
      </c>
      <c r="F23" s="8">
        <v>44606983</v>
      </c>
      <c r="G23" s="8">
        <v>1457593</v>
      </c>
      <c r="H23" s="8">
        <v>4753498</v>
      </c>
      <c r="I23" s="8">
        <v>44098132</v>
      </c>
      <c r="J23" s="8">
        <v>395730</v>
      </c>
      <c r="K23" s="8"/>
      <c r="L23" s="8"/>
      <c r="M23" s="19"/>
      <c r="N23" s="8"/>
      <c r="O23" s="16"/>
      <c r="P23" s="16"/>
    </row>
    <row r="24" spans="1:16" ht="12.75">
      <c r="A24" t="s">
        <v>17</v>
      </c>
      <c r="C24" s="7">
        <v>358</v>
      </c>
      <c r="D24" s="8">
        <v>104059450</v>
      </c>
      <c r="E24" s="8">
        <v>99768350</v>
      </c>
      <c r="F24" s="8">
        <v>47980492</v>
      </c>
      <c r="G24" s="8">
        <v>623900</v>
      </c>
      <c r="H24" s="8">
        <v>6000129</v>
      </c>
      <c r="I24" s="8">
        <v>28993830</v>
      </c>
      <c r="J24" s="8">
        <v>1119229</v>
      </c>
      <c r="K24" s="8"/>
      <c r="L24" s="8"/>
      <c r="M24" s="19"/>
      <c r="N24" s="8"/>
      <c r="O24" s="16"/>
      <c r="P24" s="16"/>
    </row>
    <row r="25" spans="1:16" ht="12.75">
      <c r="A25" t="s">
        <v>18</v>
      </c>
      <c r="C25" s="7">
        <v>371</v>
      </c>
      <c r="D25" s="8">
        <v>90303181</v>
      </c>
      <c r="E25" s="8">
        <v>88437349</v>
      </c>
      <c r="F25" s="8">
        <v>41867393</v>
      </c>
      <c r="G25" s="8">
        <v>104293</v>
      </c>
      <c r="H25" s="8">
        <v>3985382</v>
      </c>
      <c r="I25" s="8">
        <v>25569813</v>
      </c>
      <c r="J25" s="8">
        <v>105353</v>
      </c>
      <c r="K25" s="8"/>
      <c r="L25" s="8"/>
      <c r="M25" s="19"/>
      <c r="N25" s="8"/>
      <c r="O25" s="16"/>
      <c r="P25" s="16"/>
    </row>
    <row r="26" spans="1:16" ht="12.75">
      <c r="A26" t="s">
        <v>19</v>
      </c>
      <c r="C26" s="7">
        <v>372</v>
      </c>
      <c r="D26" s="8">
        <v>89935941</v>
      </c>
      <c r="E26" s="8">
        <v>94604526</v>
      </c>
      <c r="F26" s="8">
        <v>41357222</v>
      </c>
      <c r="G26" s="8">
        <v>323857</v>
      </c>
      <c r="H26" s="8">
        <v>5516441</v>
      </c>
      <c r="I26" s="8">
        <v>23759915</v>
      </c>
      <c r="J26" s="8">
        <v>250603</v>
      </c>
      <c r="K26" s="8"/>
      <c r="L26" s="8"/>
      <c r="M26" s="19"/>
      <c r="N26" s="8"/>
      <c r="O26" s="16"/>
      <c r="P26" s="16"/>
    </row>
    <row r="27" spans="1:16" ht="12.75">
      <c r="A27" t="s">
        <v>20</v>
      </c>
      <c r="C27" s="7">
        <v>372</v>
      </c>
      <c r="D27" s="8">
        <v>88926833</v>
      </c>
      <c r="E27" s="8">
        <v>84615373</v>
      </c>
      <c r="F27" s="8">
        <v>34732029</v>
      </c>
      <c r="G27" s="8">
        <v>141209</v>
      </c>
      <c r="H27" s="8">
        <v>4782152</v>
      </c>
      <c r="I27" s="8">
        <v>27983139</v>
      </c>
      <c r="J27" s="8">
        <v>77785</v>
      </c>
      <c r="K27" s="8"/>
      <c r="L27" s="8"/>
      <c r="M27" s="8"/>
      <c r="N27" s="8"/>
      <c r="O27" s="16"/>
      <c r="P27" s="16"/>
    </row>
    <row r="28" spans="1:14" ht="15.75">
      <c r="A28" s="24" t="s">
        <v>22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9" t="s">
        <v>28</v>
      </c>
      <c r="C29" s="7">
        <v>1919</v>
      </c>
      <c r="D29" s="8">
        <v>372720837</v>
      </c>
      <c r="E29" s="8">
        <v>364649926</v>
      </c>
      <c r="F29" s="8">
        <v>66627495</v>
      </c>
      <c r="G29" s="8">
        <v>30834925</v>
      </c>
      <c r="H29" s="8">
        <v>10689866</v>
      </c>
      <c r="I29" s="8">
        <v>52633498</v>
      </c>
      <c r="J29" s="8">
        <v>6388311</v>
      </c>
      <c r="K29" s="8"/>
      <c r="L29" s="8"/>
      <c r="M29" s="8"/>
      <c r="N29" s="8"/>
    </row>
    <row r="30" spans="1:15" ht="12.75">
      <c r="A30" s="9" t="s">
        <v>27</v>
      </c>
      <c r="C30" s="7">
        <v>1797</v>
      </c>
      <c r="D30" s="8">
        <v>352947674</v>
      </c>
      <c r="E30" s="8">
        <v>354532003</v>
      </c>
      <c r="F30" s="8">
        <v>70217568</v>
      </c>
      <c r="G30" s="8">
        <f>3782315+4300698</f>
        <v>8083013</v>
      </c>
      <c r="H30" s="8">
        <v>9663841</v>
      </c>
      <c r="I30" s="8">
        <v>50523057</v>
      </c>
      <c r="J30" s="8">
        <v>5240017</v>
      </c>
      <c r="K30" s="8"/>
      <c r="L30" s="8"/>
      <c r="M30" s="19"/>
      <c r="N30" s="8"/>
      <c r="O30" s="19"/>
    </row>
    <row r="31" spans="1:16" ht="12.75">
      <c r="A31" s="15" t="s">
        <v>26</v>
      </c>
      <c r="C31" s="7">
        <v>1650</v>
      </c>
      <c r="D31" s="8">
        <v>289423580</v>
      </c>
      <c r="E31" s="8">
        <v>255174076</v>
      </c>
      <c r="F31" s="8">
        <v>52467328</v>
      </c>
      <c r="G31" s="8">
        <f>14188703+3970430</f>
        <v>18159133</v>
      </c>
      <c r="H31" s="8">
        <v>7670407</v>
      </c>
      <c r="I31" s="8">
        <v>43774829</v>
      </c>
      <c r="J31" s="8">
        <v>8999470</v>
      </c>
      <c r="K31" s="8"/>
      <c r="L31" s="8"/>
      <c r="M31" s="19"/>
      <c r="N31" s="8"/>
      <c r="O31" s="16"/>
      <c r="P31" s="16"/>
    </row>
    <row r="32" spans="1:16" ht="12.75">
      <c r="A32" s="9" t="s">
        <v>14</v>
      </c>
      <c r="C32" s="7">
        <v>1401</v>
      </c>
      <c r="D32" s="8">
        <v>166652339</v>
      </c>
      <c r="E32" s="8">
        <v>165680186</v>
      </c>
      <c r="F32" s="8">
        <v>46362859</v>
      </c>
      <c r="G32" s="8">
        <f>2095072+126489</f>
        <v>2221561</v>
      </c>
      <c r="H32" s="8">
        <v>4674419</v>
      </c>
      <c r="I32" s="8">
        <v>23576577</v>
      </c>
      <c r="J32" s="8">
        <v>7817072</v>
      </c>
      <c r="K32" s="8"/>
      <c r="L32" s="8"/>
      <c r="M32" s="19"/>
      <c r="N32" s="8"/>
      <c r="O32" s="16"/>
      <c r="P32" s="16"/>
    </row>
    <row r="33" spans="1:16" ht="12.75">
      <c r="A33" s="9" t="s">
        <v>15</v>
      </c>
      <c r="C33" s="7">
        <v>1362</v>
      </c>
      <c r="D33" s="8">
        <v>144266748</v>
      </c>
      <c r="E33" s="8">
        <v>139662019</v>
      </c>
      <c r="F33" s="8">
        <v>37297383</v>
      </c>
      <c r="G33" s="8">
        <v>5589170</v>
      </c>
      <c r="H33" s="8">
        <v>3906993</v>
      </c>
      <c r="I33" s="8">
        <v>20248157</v>
      </c>
      <c r="J33" s="8">
        <v>13409452</v>
      </c>
      <c r="K33" s="8"/>
      <c r="L33" s="8"/>
      <c r="M33" s="19"/>
      <c r="N33" s="8"/>
      <c r="O33" s="16"/>
      <c r="P33" s="16"/>
    </row>
    <row r="34" spans="1:16" ht="12.75">
      <c r="A34" s="10" t="s">
        <v>16</v>
      </c>
      <c r="C34" s="7">
        <v>1326</v>
      </c>
      <c r="D34" s="8">
        <v>114321557</v>
      </c>
      <c r="E34" s="8">
        <v>107775031</v>
      </c>
      <c r="F34" s="8">
        <v>28154544</v>
      </c>
      <c r="G34" s="8">
        <v>2412875</v>
      </c>
      <c r="H34" s="8">
        <f>1191855+1432794</f>
        <v>2624649</v>
      </c>
      <c r="I34" s="8">
        <v>17223500</v>
      </c>
      <c r="J34" s="8">
        <v>9805704</v>
      </c>
      <c r="K34" s="8"/>
      <c r="L34" s="8"/>
      <c r="M34" s="19"/>
      <c r="N34" s="8"/>
      <c r="O34" s="16"/>
      <c r="P34" s="16"/>
    </row>
    <row r="35" spans="1:16" ht="12.75">
      <c r="A35" t="s">
        <v>17</v>
      </c>
      <c r="C35" s="7">
        <v>1259</v>
      </c>
      <c r="D35" s="8">
        <v>81165399</v>
      </c>
      <c r="E35" s="8">
        <v>81265563</v>
      </c>
      <c r="F35" s="8">
        <v>23960110</v>
      </c>
      <c r="G35" s="8">
        <v>4534452</v>
      </c>
      <c r="H35" s="8">
        <f>1162954+1586779</f>
        <v>2749733</v>
      </c>
      <c r="I35" s="8">
        <v>10734975</v>
      </c>
      <c r="J35" s="8">
        <v>9520705</v>
      </c>
      <c r="K35" s="8"/>
      <c r="L35" s="8"/>
      <c r="M35" s="19"/>
      <c r="N35" s="8"/>
      <c r="O35" s="16"/>
      <c r="P35" s="16"/>
    </row>
    <row r="36" spans="1:16" ht="12.75">
      <c r="A36" t="s">
        <v>18</v>
      </c>
      <c r="C36" s="7">
        <v>1318</v>
      </c>
      <c r="D36" s="8">
        <v>76860606</v>
      </c>
      <c r="E36" s="8">
        <v>75060494</v>
      </c>
      <c r="F36" s="8">
        <v>18201369</v>
      </c>
      <c r="G36" s="8">
        <v>2577322</v>
      </c>
      <c r="H36" s="8">
        <f>471644+1106203</f>
        <v>1577847</v>
      </c>
      <c r="I36" s="8">
        <v>12704604</v>
      </c>
      <c r="J36" s="8">
        <v>10017850</v>
      </c>
      <c r="K36" s="8"/>
      <c r="L36" s="8"/>
      <c r="M36" s="19"/>
      <c r="N36" s="8"/>
      <c r="O36" s="16"/>
      <c r="P36" s="16"/>
    </row>
    <row r="37" spans="1:16" ht="12.75">
      <c r="A37" t="s">
        <v>19</v>
      </c>
      <c r="C37" s="7">
        <v>1376</v>
      </c>
      <c r="D37" s="8">
        <v>73810989</v>
      </c>
      <c r="E37" s="8">
        <v>76232864</v>
      </c>
      <c r="F37" s="8">
        <v>18326404</v>
      </c>
      <c r="G37" s="8">
        <v>6365476</v>
      </c>
      <c r="H37" s="8">
        <f>271860+1123859</f>
        <v>1395719</v>
      </c>
      <c r="I37" s="8">
        <v>10362731</v>
      </c>
      <c r="J37" s="8">
        <v>10735908</v>
      </c>
      <c r="K37" s="8"/>
      <c r="L37" s="8"/>
      <c r="M37" s="19"/>
      <c r="N37" s="8"/>
      <c r="O37" s="16"/>
      <c r="P37" s="16"/>
    </row>
    <row r="38" spans="1:16" ht="12.75">
      <c r="A38" t="s">
        <v>20</v>
      </c>
      <c r="C38" s="7">
        <v>1321</v>
      </c>
      <c r="D38" s="8">
        <v>71569940</v>
      </c>
      <c r="E38" s="8">
        <v>71382835</v>
      </c>
      <c r="F38" s="8">
        <v>15070009</v>
      </c>
      <c r="G38" s="8">
        <v>2830478</v>
      </c>
      <c r="H38" s="8">
        <f>49460+922471</f>
        <v>971931</v>
      </c>
      <c r="I38" s="8">
        <v>11638505</v>
      </c>
      <c r="J38" s="8">
        <v>9979974</v>
      </c>
      <c r="K38" s="8"/>
      <c r="L38" s="8"/>
      <c r="M38" s="8"/>
      <c r="N38" s="8"/>
      <c r="O38" s="16"/>
      <c r="P38" s="16"/>
    </row>
    <row r="39" spans="1:14" ht="15.75">
      <c r="A39" s="24" t="s">
        <v>23</v>
      </c>
      <c r="B39" s="25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9" t="s">
        <v>28</v>
      </c>
      <c r="C40" s="7">
        <v>1063</v>
      </c>
      <c r="D40" s="8">
        <v>240983640</v>
      </c>
      <c r="E40" s="8">
        <v>229468519</v>
      </c>
      <c r="F40" s="8">
        <v>112897919</v>
      </c>
      <c r="G40" s="8">
        <v>44911854</v>
      </c>
      <c r="H40" s="8">
        <v>11858090</v>
      </c>
      <c r="I40" s="8">
        <v>71507550</v>
      </c>
      <c r="J40" s="8">
        <v>1775258</v>
      </c>
      <c r="K40" s="8"/>
      <c r="L40" s="8"/>
      <c r="M40" s="8"/>
      <c r="N40" s="8"/>
    </row>
    <row r="41" spans="1:15" ht="12.75">
      <c r="A41" s="9" t="s">
        <v>27</v>
      </c>
      <c r="C41" s="7">
        <v>1019</v>
      </c>
      <c r="D41" s="8">
        <v>218448147</v>
      </c>
      <c r="E41" s="8">
        <v>208862724</v>
      </c>
      <c r="F41" s="8">
        <v>101803507</v>
      </c>
      <c r="G41" s="8">
        <f>14439440+4611300</f>
        <v>19050740</v>
      </c>
      <c r="H41" s="8">
        <v>10564003</v>
      </c>
      <c r="I41" s="8">
        <v>64340251</v>
      </c>
      <c r="J41" s="8">
        <v>1459007</v>
      </c>
      <c r="K41" s="8"/>
      <c r="L41" s="8"/>
      <c r="M41" s="19"/>
      <c r="N41" s="8"/>
      <c r="O41" s="19"/>
    </row>
    <row r="42" spans="1:16" ht="12.75">
      <c r="A42" s="15" t="s">
        <v>26</v>
      </c>
      <c r="C42" s="7">
        <v>986</v>
      </c>
      <c r="D42" s="8">
        <v>181837429</v>
      </c>
      <c r="E42" s="8">
        <v>170064226</v>
      </c>
      <c r="F42" s="8">
        <v>83221870</v>
      </c>
      <c r="G42" s="8">
        <f>14647527+3490542</f>
        <v>18138069</v>
      </c>
      <c r="H42" s="8">
        <v>8974538</v>
      </c>
      <c r="I42" s="8">
        <v>53368093</v>
      </c>
      <c r="J42" s="8">
        <v>1118162</v>
      </c>
      <c r="K42" s="8"/>
      <c r="L42" s="8"/>
      <c r="M42" s="19"/>
      <c r="N42" s="8"/>
      <c r="O42" s="16"/>
      <c r="P42" s="16"/>
    </row>
    <row r="43" spans="1:16" ht="12.75">
      <c r="A43" s="9" t="s">
        <v>14</v>
      </c>
      <c r="C43" s="7">
        <v>956</v>
      </c>
      <c r="D43" s="8">
        <v>145781414</v>
      </c>
      <c r="E43" s="8">
        <v>141276055</v>
      </c>
      <c r="F43" s="8">
        <v>75146673</v>
      </c>
      <c r="G43" s="8">
        <f>6941576+1150572</f>
        <v>8092148</v>
      </c>
      <c r="H43" s="8">
        <v>5598544</v>
      </c>
      <c r="I43" s="8">
        <v>41056855</v>
      </c>
      <c r="J43" s="8">
        <v>1351440</v>
      </c>
      <c r="K43" s="8"/>
      <c r="L43" s="8"/>
      <c r="M43" s="19"/>
      <c r="N43" s="8"/>
      <c r="O43" s="16"/>
      <c r="P43" s="16"/>
    </row>
    <row r="44" spans="1:16" ht="12.75">
      <c r="A44" s="9" t="s">
        <v>15</v>
      </c>
      <c r="C44" s="7">
        <v>900</v>
      </c>
      <c r="D44" s="8">
        <v>142870952</v>
      </c>
      <c r="E44" s="8">
        <v>137150301</v>
      </c>
      <c r="F44" s="8">
        <v>71802756</v>
      </c>
      <c r="G44" s="8">
        <v>11143902</v>
      </c>
      <c r="H44" s="8">
        <v>6492902</v>
      </c>
      <c r="I44" s="8">
        <v>36309930</v>
      </c>
      <c r="J44" s="8">
        <v>1008024</v>
      </c>
      <c r="K44" s="8"/>
      <c r="L44" s="8"/>
      <c r="M44" s="19"/>
      <c r="N44" s="8"/>
      <c r="O44" s="16"/>
      <c r="P44" s="16"/>
    </row>
    <row r="45" spans="1:16" ht="12.75">
      <c r="A45" s="10" t="s">
        <v>16</v>
      </c>
      <c r="C45" s="7">
        <v>921</v>
      </c>
      <c r="D45" s="8">
        <v>119576494</v>
      </c>
      <c r="E45" s="8">
        <v>114365202</v>
      </c>
      <c r="F45" s="8">
        <v>62322845</v>
      </c>
      <c r="G45" s="8">
        <v>5312135</v>
      </c>
      <c r="H45" s="8">
        <v>5714826</v>
      </c>
      <c r="I45" s="8">
        <v>30968879</v>
      </c>
      <c r="J45" s="8">
        <v>1531525</v>
      </c>
      <c r="K45" s="8"/>
      <c r="L45" s="8"/>
      <c r="M45" s="19"/>
      <c r="N45" s="8"/>
      <c r="O45" s="16"/>
      <c r="P45" s="16"/>
    </row>
    <row r="46" spans="1:16" ht="12.75">
      <c r="A46" t="s">
        <v>17</v>
      </c>
      <c r="C46" s="7">
        <v>896</v>
      </c>
      <c r="D46" s="8">
        <v>105956146</v>
      </c>
      <c r="E46" s="8">
        <v>105355853</v>
      </c>
      <c r="F46" s="8">
        <v>60153725</v>
      </c>
      <c r="G46" s="8">
        <v>4628414</v>
      </c>
      <c r="H46" s="8">
        <v>5490340</v>
      </c>
      <c r="I46" s="8">
        <v>25607325</v>
      </c>
      <c r="J46" s="8">
        <v>1279293</v>
      </c>
      <c r="K46" s="8"/>
      <c r="L46" s="8"/>
      <c r="M46" s="19"/>
      <c r="N46" s="8"/>
      <c r="O46" s="16"/>
      <c r="P46" s="16"/>
    </row>
    <row r="47" spans="1:16" ht="12.75">
      <c r="A47" t="s">
        <v>18</v>
      </c>
      <c r="C47" s="7">
        <v>852</v>
      </c>
      <c r="D47" s="8">
        <v>96372055</v>
      </c>
      <c r="E47" s="8">
        <v>94122563</v>
      </c>
      <c r="F47" s="8">
        <v>52853630</v>
      </c>
      <c r="G47" s="8">
        <v>1826292</v>
      </c>
      <c r="H47" s="8">
        <v>4552500</v>
      </c>
      <c r="I47" s="8">
        <v>24725908</v>
      </c>
      <c r="J47" s="8">
        <v>770934</v>
      </c>
      <c r="K47" s="8"/>
      <c r="L47" s="8"/>
      <c r="M47" s="19"/>
      <c r="N47" s="8"/>
      <c r="O47" s="16"/>
      <c r="P47" s="16"/>
    </row>
    <row r="48" spans="1:16" ht="12.75">
      <c r="A48" t="s">
        <v>19</v>
      </c>
      <c r="C48" s="7">
        <v>835</v>
      </c>
      <c r="D48" s="8">
        <v>95740556</v>
      </c>
      <c r="E48" s="8">
        <v>97471784</v>
      </c>
      <c r="F48" s="8">
        <v>53870702</v>
      </c>
      <c r="G48" s="8">
        <v>3517187</v>
      </c>
      <c r="H48" s="8">
        <v>4308407</v>
      </c>
      <c r="I48" s="8">
        <v>22933660</v>
      </c>
      <c r="J48" s="8">
        <v>557168</v>
      </c>
      <c r="K48" s="8"/>
      <c r="L48" s="8"/>
      <c r="M48" s="19"/>
      <c r="N48" s="8"/>
      <c r="O48" s="16"/>
      <c r="P48" s="16"/>
    </row>
    <row r="49" spans="1:16" ht="12.75">
      <c r="A49" t="s">
        <v>20</v>
      </c>
      <c r="C49" s="7">
        <v>801</v>
      </c>
      <c r="D49" s="8">
        <v>92516400</v>
      </c>
      <c r="E49" s="8">
        <v>88095809</v>
      </c>
      <c r="F49" s="8">
        <v>44804886</v>
      </c>
      <c r="G49" s="8">
        <v>1840324</v>
      </c>
      <c r="H49" s="8">
        <v>3628899</v>
      </c>
      <c r="I49" s="8">
        <v>25055781</v>
      </c>
      <c r="J49" s="8">
        <v>414278</v>
      </c>
      <c r="K49" s="8"/>
      <c r="L49" s="8"/>
      <c r="M49" s="8"/>
      <c r="N49" s="8"/>
      <c r="O49" s="16"/>
      <c r="P49" s="16"/>
    </row>
    <row r="50" spans="1:14" ht="15.75">
      <c r="A50" s="24" t="s">
        <v>24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9" t="s">
        <v>28</v>
      </c>
      <c r="C51" s="7">
        <v>42</v>
      </c>
      <c r="D51" s="8">
        <v>10283949</v>
      </c>
      <c r="E51" s="8">
        <v>9871642</v>
      </c>
      <c r="F51" s="8">
        <v>6861823</v>
      </c>
      <c r="G51" s="8">
        <v>0</v>
      </c>
      <c r="H51" s="8">
        <v>370103</v>
      </c>
      <c r="I51" s="8">
        <v>4000355</v>
      </c>
      <c r="J51" s="8">
        <v>0</v>
      </c>
      <c r="K51" s="8"/>
      <c r="L51" s="8"/>
      <c r="M51" s="8"/>
      <c r="N51" s="8"/>
    </row>
    <row r="52" spans="1:14" ht="12.75">
      <c r="A52" s="9" t="s">
        <v>27</v>
      </c>
      <c r="C52" s="7">
        <v>40</v>
      </c>
      <c r="D52" s="8">
        <v>6166566</v>
      </c>
      <c r="E52" s="8">
        <v>5623900</v>
      </c>
      <c r="F52" s="8">
        <v>3454915</v>
      </c>
      <c r="G52" s="8">
        <f>3865</f>
        <v>3865</v>
      </c>
      <c r="H52" s="8">
        <v>288000</v>
      </c>
      <c r="I52" s="8">
        <v>2936503</v>
      </c>
      <c r="J52" s="8">
        <v>0</v>
      </c>
      <c r="K52" s="8"/>
      <c r="L52" s="8"/>
      <c r="M52" s="8"/>
      <c r="N52" s="8"/>
    </row>
    <row r="53" spans="1:16" ht="12.75">
      <c r="A53" s="15" t="s">
        <v>26</v>
      </c>
      <c r="C53" s="7">
        <v>38</v>
      </c>
      <c r="D53" s="8">
        <v>4187378</v>
      </c>
      <c r="E53" s="8">
        <v>3895437</v>
      </c>
      <c r="F53" s="8">
        <v>2872363</v>
      </c>
      <c r="G53" s="8">
        <f>4993</f>
        <v>4993</v>
      </c>
      <c r="H53" s="8">
        <v>168050</v>
      </c>
      <c r="I53" s="8">
        <v>2362987</v>
      </c>
      <c r="J53" s="8">
        <v>0</v>
      </c>
      <c r="K53" s="8"/>
      <c r="L53" s="8"/>
      <c r="M53" s="8"/>
      <c r="N53" s="8"/>
      <c r="O53" s="16"/>
      <c r="P53" s="16"/>
    </row>
    <row r="54" spans="1:16" ht="12.75">
      <c r="A54" s="9" t="s">
        <v>14</v>
      </c>
      <c r="C54" s="7">
        <v>41</v>
      </c>
      <c r="D54" s="8">
        <v>3680041</v>
      </c>
      <c r="E54" s="8">
        <v>3645829</v>
      </c>
      <c r="F54" s="8">
        <v>2656875</v>
      </c>
      <c r="G54" s="8">
        <v>0</v>
      </c>
      <c r="H54" s="8">
        <v>130300</v>
      </c>
      <c r="I54" s="8">
        <v>2188944</v>
      </c>
      <c r="J54" s="8">
        <v>0</v>
      </c>
      <c r="K54" s="8"/>
      <c r="L54" s="8"/>
      <c r="M54" s="8"/>
      <c r="N54" s="8"/>
      <c r="O54" s="16"/>
      <c r="P54" s="16"/>
    </row>
    <row r="55" spans="1:16" ht="12.75">
      <c r="A55" s="9" t="s">
        <v>15</v>
      </c>
      <c r="C55" s="7">
        <v>41</v>
      </c>
      <c r="D55" s="8">
        <v>3716550</v>
      </c>
      <c r="E55" s="8">
        <v>3297957</v>
      </c>
      <c r="F55" s="8">
        <v>2360236</v>
      </c>
      <c r="G55" s="8">
        <v>4958</v>
      </c>
      <c r="H55" s="8">
        <v>109246</v>
      </c>
      <c r="I55" s="8">
        <v>2201864</v>
      </c>
      <c r="J55" s="8">
        <v>0</v>
      </c>
      <c r="K55" s="8"/>
      <c r="L55" s="8"/>
      <c r="M55" s="8"/>
      <c r="N55" s="8"/>
      <c r="O55" s="16"/>
      <c r="P55" s="16"/>
    </row>
    <row r="56" spans="1:16" ht="12.75">
      <c r="A56" s="10" t="s">
        <v>16</v>
      </c>
      <c r="C56" s="7">
        <v>45</v>
      </c>
      <c r="D56" s="8">
        <v>4468403</v>
      </c>
      <c r="E56" s="8">
        <v>4345123</v>
      </c>
      <c r="F56" s="8">
        <v>2411076</v>
      </c>
      <c r="G56" s="8">
        <v>4981</v>
      </c>
      <c r="H56" s="8">
        <v>120250</v>
      </c>
      <c r="I56" s="8">
        <v>1862833</v>
      </c>
      <c r="J56" s="8">
        <v>0</v>
      </c>
      <c r="K56" s="8"/>
      <c r="L56" s="8"/>
      <c r="M56" s="8"/>
      <c r="N56" s="8"/>
      <c r="O56" s="16"/>
      <c r="P56" s="16"/>
    </row>
    <row r="57" spans="1:16" ht="12.75">
      <c r="A57" t="s">
        <v>17</v>
      </c>
      <c r="C57" s="7">
        <v>45</v>
      </c>
      <c r="D57" s="8">
        <v>3897164</v>
      </c>
      <c r="E57" s="8">
        <v>4195374</v>
      </c>
      <c r="F57" s="8">
        <v>3006471</v>
      </c>
      <c r="G57" s="8">
        <v>4916</v>
      </c>
      <c r="H57" s="8">
        <v>115483</v>
      </c>
      <c r="I57" s="8">
        <v>1727426</v>
      </c>
      <c r="J57" s="8">
        <v>0</v>
      </c>
      <c r="K57" s="8"/>
      <c r="L57" s="8"/>
      <c r="M57" s="8"/>
      <c r="N57" s="8"/>
      <c r="O57" s="16"/>
      <c r="P57" s="16"/>
    </row>
    <row r="58" spans="1:16" ht="12.75">
      <c r="A58" t="s">
        <v>18</v>
      </c>
      <c r="C58" s="7">
        <v>56</v>
      </c>
      <c r="D58" s="8">
        <v>4377763</v>
      </c>
      <c r="E58" s="8">
        <v>4516979</v>
      </c>
      <c r="F58" s="8">
        <v>3035003</v>
      </c>
      <c r="G58" s="8">
        <v>0</v>
      </c>
      <c r="H58" s="8">
        <v>131620</v>
      </c>
      <c r="I58" s="8">
        <v>2011400</v>
      </c>
      <c r="J58" s="8">
        <v>0</v>
      </c>
      <c r="K58" s="8"/>
      <c r="L58" s="8"/>
      <c r="M58" s="8"/>
      <c r="N58" s="8"/>
      <c r="O58" s="16"/>
      <c r="P58" s="16"/>
    </row>
    <row r="59" spans="1:16" ht="12.75">
      <c r="A59" t="s">
        <v>19</v>
      </c>
      <c r="C59" s="7">
        <v>61</v>
      </c>
      <c r="D59" s="8">
        <v>4794929</v>
      </c>
      <c r="E59" s="8">
        <v>4891433</v>
      </c>
      <c r="F59" s="8">
        <v>2961140</v>
      </c>
      <c r="G59" s="8">
        <v>0</v>
      </c>
      <c r="H59" s="8">
        <v>294350</v>
      </c>
      <c r="I59" s="8">
        <v>2151806</v>
      </c>
      <c r="J59" s="8">
        <v>48046</v>
      </c>
      <c r="K59" s="8"/>
      <c r="L59" s="8"/>
      <c r="M59" s="8"/>
      <c r="N59" s="8"/>
      <c r="O59" s="16"/>
      <c r="P59" s="16"/>
    </row>
    <row r="60" spans="1:16" ht="12.75">
      <c r="A60" t="s">
        <v>20</v>
      </c>
      <c r="C60" s="7">
        <v>60</v>
      </c>
      <c r="D60" s="8">
        <v>4974122</v>
      </c>
      <c r="E60" s="8">
        <v>4830175</v>
      </c>
      <c r="F60" s="8">
        <v>2950960</v>
      </c>
      <c r="G60" s="8">
        <v>2000</v>
      </c>
      <c r="H60" s="8">
        <v>290950</v>
      </c>
      <c r="I60" s="8">
        <v>2264517</v>
      </c>
      <c r="J60" s="8">
        <v>35869</v>
      </c>
      <c r="K60" s="8"/>
      <c r="L60" s="8"/>
      <c r="M60" s="8"/>
      <c r="N60" s="8"/>
      <c r="O60" s="16"/>
      <c r="P60" s="16"/>
    </row>
    <row r="61" spans="1:14" ht="15.75">
      <c r="A61" s="24" t="s">
        <v>25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9" t="s">
        <v>28</v>
      </c>
      <c r="C62" s="7">
        <v>111</v>
      </c>
      <c r="D62" s="8">
        <v>13025360</v>
      </c>
      <c r="E62" s="8">
        <v>12408802</v>
      </c>
      <c r="F62" s="8">
        <v>5461525</v>
      </c>
      <c r="G62" s="8">
        <v>582735</v>
      </c>
      <c r="H62" s="8">
        <v>649750</v>
      </c>
      <c r="I62" s="8">
        <v>3499603</v>
      </c>
      <c r="J62" s="8">
        <v>489961</v>
      </c>
      <c r="K62" s="8"/>
      <c r="L62" s="8"/>
      <c r="M62" s="8"/>
      <c r="N62" s="8"/>
    </row>
    <row r="63" spans="1:14" ht="12.75">
      <c r="A63" s="9" t="s">
        <v>27</v>
      </c>
      <c r="C63" s="7">
        <v>115</v>
      </c>
      <c r="D63" s="8">
        <v>11441713</v>
      </c>
      <c r="E63" s="8">
        <v>11063119</v>
      </c>
      <c r="F63" s="8">
        <v>4885718</v>
      </c>
      <c r="G63" s="8">
        <f>356583+21266</f>
        <v>377849</v>
      </c>
      <c r="H63" s="8">
        <v>794150</v>
      </c>
      <c r="I63" s="8">
        <v>3309865</v>
      </c>
      <c r="J63" s="8">
        <v>458418</v>
      </c>
      <c r="K63" s="8"/>
      <c r="L63" s="8"/>
      <c r="M63" s="8"/>
      <c r="N63" s="8"/>
    </row>
    <row r="64" spans="1:16" ht="12.75">
      <c r="A64" s="15" t="s">
        <v>26</v>
      </c>
      <c r="C64" s="7">
        <v>109</v>
      </c>
      <c r="D64" s="8">
        <v>9639838</v>
      </c>
      <c r="E64" s="8">
        <v>9247934</v>
      </c>
      <c r="F64" s="8">
        <v>4182321</v>
      </c>
      <c r="G64" s="8">
        <f>68018+43077</f>
        <v>111095</v>
      </c>
      <c r="H64" s="8">
        <v>697300</v>
      </c>
      <c r="I64" s="8">
        <v>3681822</v>
      </c>
      <c r="J64" s="8">
        <v>368697</v>
      </c>
      <c r="K64" s="8"/>
      <c r="L64" s="8"/>
      <c r="M64" s="8"/>
      <c r="N64" s="8"/>
      <c r="O64" s="16"/>
      <c r="P64" s="16"/>
    </row>
    <row r="65" spans="1:16" ht="12.75">
      <c r="A65" s="9" t="s">
        <v>14</v>
      </c>
      <c r="C65" s="7">
        <v>118</v>
      </c>
      <c r="D65" s="8">
        <v>9714903</v>
      </c>
      <c r="E65" s="8">
        <v>9618199</v>
      </c>
      <c r="F65" s="8">
        <v>4399446</v>
      </c>
      <c r="G65" s="8">
        <f>82601</f>
        <v>82601</v>
      </c>
      <c r="H65" s="8">
        <v>444109</v>
      </c>
      <c r="I65" s="8">
        <v>3680856</v>
      </c>
      <c r="J65" s="8">
        <v>372424</v>
      </c>
      <c r="K65" s="8"/>
      <c r="L65" s="8"/>
      <c r="M65" s="8"/>
      <c r="N65" s="8"/>
      <c r="O65" s="16"/>
      <c r="P65" s="16"/>
    </row>
    <row r="66" spans="1:16" ht="12.75">
      <c r="A66" s="9" t="s">
        <v>15</v>
      </c>
      <c r="C66" s="7">
        <v>121</v>
      </c>
      <c r="D66" s="8">
        <v>13591109</v>
      </c>
      <c r="E66" s="8">
        <v>12225794</v>
      </c>
      <c r="F66" s="8">
        <v>5270336</v>
      </c>
      <c r="G66" s="8">
        <v>1340384</v>
      </c>
      <c r="H66" s="8">
        <v>731425</v>
      </c>
      <c r="I66" s="8">
        <v>3314652</v>
      </c>
      <c r="J66" s="8">
        <v>424940</v>
      </c>
      <c r="K66" s="8"/>
      <c r="L66" s="8"/>
      <c r="M66" s="8"/>
      <c r="N66" s="8"/>
      <c r="O66" s="16"/>
      <c r="P66" s="16"/>
    </row>
    <row r="67" spans="1:16" ht="12.75">
      <c r="A67" s="10" t="s">
        <v>16</v>
      </c>
      <c r="C67" s="7">
        <v>133</v>
      </c>
      <c r="D67" s="8">
        <v>8782595</v>
      </c>
      <c r="E67" s="8">
        <v>8527765</v>
      </c>
      <c r="F67" s="8">
        <v>4429368</v>
      </c>
      <c r="G67" s="8">
        <v>93849</v>
      </c>
      <c r="H67" s="8">
        <v>649992</v>
      </c>
      <c r="I67" s="8">
        <v>2805540</v>
      </c>
      <c r="J67" s="8">
        <v>335468</v>
      </c>
      <c r="K67" s="8"/>
      <c r="L67" s="8"/>
      <c r="M67" s="8"/>
      <c r="N67" s="8"/>
      <c r="O67" s="16"/>
      <c r="P67" s="16"/>
    </row>
    <row r="68" spans="1:16" ht="12.75">
      <c r="A68" t="s">
        <v>17</v>
      </c>
      <c r="C68" s="7">
        <v>134</v>
      </c>
      <c r="D68" s="8">
        <v>8500508</v>
      </c>
      <c r="E68" s="8">
        <v>8677836</v>
      </c>
      <c r="F68" s="8">
        <v>4535098</v>
      </c>
      <c r="G68" s="8">
        <v>384888</v>
      </c>
      <c r="H68" s="8">
        <v>715355</v>
      </c>
      <c r="I68" s="8">
        <v>2481467</v>
      </c>
      <c r="J68" s="8">
        <v>399973</v>
      </c>
      <c r="K68" s="8"/>
      <c r="L68" s="8"/>
      <c r="M68" s="8"/>
      <c r="N68" s="8"/>
      <c r="O68" s="16"/>
      <c r="P68" s="16"/>
    </row>
    <row r="69" spans="1:16" ht="12.75">
      <c r="A69" t="s">
        <v>18</v>
      </c>
      <c r="C69" s="7">
        <v>149</v>
      </c>
      <c r="D69" s="8">
        <v>8850851</v>
      </c>
      <c r="E69" s="8">
        <v>9151115</v>
      </c>
      <c r="F69" s="8">
        <v>4063291</v>
      </c>
      <c r="G69" s="8">
        <v>536291</v>
      </c>
      <c r="H69" s="8">
        <v>634182</v>
      </c>
      <c r="I69" s="8">
        <v>2773239</v>
      </c>
      <c r="J69" s="8">
        <v>336452</v>
      </c>
      <c r="K69" s="8"/>
      <c r="L69" s="8"/>
      <c r="M69" s="8"/>
      <c r="N69" s="8"/>
      <c r="O69" s="16"/>
      <c r="P69" s="16"/>
    </row>
    <row r="70" spans="1:16" ht="12.75">
      <c r="A70" t="s">
        <v>19</v>
      </c>
      <c r="C70" s="7">
        <v>153</v>
      </c>
      <c r="D70" s="8">
        <v>8730610</v>
      </c>
      <c r="E70" s="8">
        <v>9195491</v>
      </c>
      <c r="F70" s="8">
        <v>3981324</v>
      </c>
      <c r="G70" s="8">
        <v>386073</v>
      </c>
      <c r="H70" s="8">
        <v>558275</v>
      </c>
      <c r="I70" s="8">
        <v>3011989</v>
      </c>
      <c r="J70" s="8">
        <v>219349</v>
      </c>
      <c r="K70" s="8"/>
      <c r="L70" s="8"/>
      <c r="M70" s="8"/>
      <c r="N70" s="8"/>
      <c r="O70" s="16"/>
      <c r="P70" s="16"/>
    </row>
    <row r="71" spans="1:16" ht="12.75">
      <c r="A71" t="s">
        <v>20</v>
      </c>
      <c r="C71" s="7">
        <v>151</v>
      </c>
      <c r="D71" s="8">
        <v>7629909</v>
      </c>
      <c r="E71" s="8">
        <v>7669098</v>
      </c>
      <c r="F71" s="8">
        <v>3431890</v>
      </c>
      <c r="G71" s="8">
        <v>322457</v>
      </c>
      <c r="H71" s="8">
        <v>446950</v>
      </c>
      <c r="I71" s="8">
        <v>3534686</v>
      </c>
      <c r="J71" s="8">
        <v>159796</v>
      </c>
      <c r="K71" s="8"/>
      <c r="L71" s="8"/>
      <c r="M71" s="8"/>
      <c r="N71" s="8"/>
      <c r="O71" s="16"/>
      <c r="P71" s="16"/>
    </row>
    <row r="72" spans="1:14" ht="15.75">
      <c r="A72" s="26" t="s">
        <v>2</v>
      </c>
      <c r="B72" s="11"/>
      <c r="C72" s="12"/>
      <c r="D72" s="13"/>
      <c r="E72" s="13"/>
      <c r="F72" s="13"/>
      <c r="G72" s="13"/>
      <c r="H72" s="13"/>
      <c r="I72" s="13"/>
      <c r="J72" s="13"/>
      <c r="K72" s="18"/>
      <c r="L72" s="18"/>
      <c r="M72" s="18"/>
      <c r="N72" s="18"/>
    </row>
    <row r="73" spans="1:18" ht="12.75">
      <c r="A73" s="9" t="s">
        <v>28</v>
      </c>
      <c r="B73" s="14"/>
      <c r="C73" s="7">
        <f aca="true" t="shared" si="0" ref="C73:J74">C62+C51+C40+C29+C18+C7</f>
        <v>5210</v>
      </c>
      <c r="D73" s="8">
        <f t="shared" si="0"/>
        <v>1212420598</v>
      </c>
      <c r="E73" s="8">
        <f t="shared" si="0"/>
        <v>1179972158</v>
      </c>
      <c r="F73" s="8">
        <f t="shared" si="0"/>
        <v>412847552</v>
      </c>
      <c r="G73" s="8">
        <f aca="true" t="shared" si="1" ref="G73:H82">G62+G51+G40+G29+G18+G7</f>
        <v>135181501</v>
      </c>
      <c r="H73" s="8">
        <f t="shared" si="1"/>
        <v>52743398</v>
      </c>
      <c r="I73" s="8">
        <f t="shared" si="0"/>
        <v>308579888</v>
      </c>
      <c r="J73" s="8">
        <f t="shared" si="0"/>
        <v>16483285</v>
      </c>
      <c r="K73" s="8"/>
      <c r="L73" s="19">
        <f>(D73-D74)/D74</f>
        <v>0.11688706944775261</v>
      </c>
      <c r="M73" s="19">
        <f>(E73-E74)/E74</f>
        <v>0.11812408896025241</v>
      </c>
      <c r="N73" s="19">
        <f>(F73-F74)/F74</f>
        <v>0.10949880195321428</v>
      </c>
      <c r="O73" s="19">
        <f>(I73-I74)/I74</f>
        <v>0.07727986031342879</v>
      </c>
      <c r="P73" s="19">
        <f aca="true" t="shared" si="2" ref="P73:P81">(J73-J74)/J74</f>
        <v>0.4227779330034493</v>
      </c>
      <c r="Q73" s="19"/>
      <c r="R73" s="16">
        <f aca="true" t="shared" si="3" ref="R73:R81">G73/F73</f>
        <v>0.32743684768173215</v>
      </c>
    </row>
    <row r="74" spans="1:18" ht="12.75">
      <c r="A74" s="9" t="s">
        <v>27</v>
      </c>
      <c r="B74" s="14"/>
      <c r="C74" s="7">
        <f t="shared" si="0"/>
        <v>5091</v>
      </c>
      <c r="D74" s="8">
        <f t="shared" si="0"/>
        <v>1085535531</v>
      </c>
      <c r="E74" s="8">
        <f t="shared" si="0"/>
        <v>1055314137</v>
      </c>
      <c r="F74" s="8">
        <f t="shared" si="0"/>
        <v>372102747</v>
      </c>
      <c r="G74" s="8">
        <f t="shared" si="1"/>
        <v>37822259</v>
      </c>
      <c r="H74" s="8">
        <f t="shared" si="1"/>
        <v>47463538</v>
      </c>
      <c r="I74" s="8">
        <f t="shared" si="0"/>
        <v>286443569</v>
      </c>
      <c r="J74" s="8">
        <f t="shared" si="0"/>
        <v>11585283</v>
      </c>
      <c r="K74" s="8"/>
      <c r="L74" s="19">
        <f aca="true" t="shared" si="4" ref="L74:L81">(D74-D75)/D75</f>
        <v>0.1854404410245359</v>
      </c>
      <c r="M74" s="19">
        <f aca="true" t="shared" si="5" ref="M74:N81">(E74-E75)/E75</f>
        <v>0.25195291539460146</v>
      </c>
      <c r="N74" s="19">
        <f t="shared" si="5"/>
        <v>0.19844099404989873</v>
      </c>
      <c r="O74" s="19">
        <f aca="true" t="shared" si="6" ref="O74:O81">(I74-I75)/I75</f>
        <v>0.1850350660348467</v>
      </c>
      <c r="P74" s="19">
        <f t="shared" si="2"/>
        <v>-0.16817658494030727</v>
      </c>
      <c r="Q74" s="19"/>
      <c r="R74" s="16">
        <f t="shared" si="3"/>
        <v>0.10164466482694362</v>
      </c>
    </row>
    <row r="75" spans="1:18" ht="12.75">
      <c r="A75" s="15" t="s">
        <v>26</v>
      </c>
      <c r="B75" s="14"/>
      <c r="C75" s="7">
        <f aca="true" t="shared" si="7" ref="C75:F82">C64+C53+C42+C31+C20+C9</f>
        <v>4867</v>
      </c>
      <c r="D75" s="8">
        <f t="shared" si="7"/>
        <v>915723383</v>
      </c>
      <c r="E75" s="8">
        <f t="shared" si="7"/>
        <v>842934366</v>
      </c>
      <c r="F75" s="8">
        <f t="shared" si="7"/>
        <v>310489001</v>
      </c>
      <c r="G75" s="8">
        <f t="shared" si="1"/>
        <v>57374392</v>
      </c>
      <c r="H75" s="8">
        <f t="shared" si="1"/>
        <v>42632290</v>
      </c>
      <c r="I75" s="8">
        <f aca="true" t="shared" si="8" ref="I75:J82">I64+I53+I42+I31+I20+I9</f>
        <v>241717378</v>
      </c>
      <c r="J75" s="8">
        <f t="shared" si="8"/>
        <v>13927575</v>
      </c>
      <c r="K75" s="8"/>
      <c r="L75" s="19">
        <f t="shared" si="4"/>
        <v>0.33622641607283166</v>
      </c>
      <c r="M75" s="19">
        <f t="shared" si="5"/>
        <v>0.2840400224121579</v>
      </c>
      <c r="N75" s="19">
        <f t="shared" si="5"/>
        <v>0.1008630306057926</v>
      </c>
      <c r="O75" s="19">
        <f t="shared" si="6"/>
        <v>0.3116819426561077</v>
      </c>
      <c r="P75" s="19">
        <f t="shared" si="2"/>
        <v>0.3549414895102167</v>
      </c>
      <c r="Q75" s="19"/>
      <c r="R75" s="16">
        <f t="shared" si="3"/>
        <v>0.18478719637479205</v>
      </c>
    </row>
    <row r="76" spans="1:18" ht="12.75">
      <c r="A76" s="9" t="s">
        <v>14</v>
      </c>
      <c r="B76" s="14"/>
      <c r="C76" s="7">
        <f t="shared" si="7"/>
        <v>4594</v>
      </c>
      <c r="D76" s="8">
        <f t="shared" si="7"/>
        <v>685305553</v>
      </c>
      <c r="E76" s="8">
        <f t="shared" si="7"/>
        <v>656470477</v>
      </c>
      <c r="F76" s="8">
        <f t="shared" si="7"/>
        <v>282041446</v>
      </c>
      <c r="G76" s="8">
        <f t="shared" si="1"/>
        <v>14008019</v>
      </c>
      <c r="H76" s="8">
        <f t="shared" si="1"/>
        <v>24495911</v>
      </c>
      <c r="I76" s="8">
        <f t="shared" si="8"/>
        <v>184280480</v>
      </c>
      <c r="J76" s="8">
        <f t="shared" si="8"/>
        <v>10279097</v>
      </c>
      <c r="K76" s="8"/>
      <c r="L76" s="19">
        <f t="shared" si="4"/>
        <v>0.13290298048753346</v>
      </c>
      <c r="M76" s="19">
        <f t="shared" si="5"/>
        <v>0.1330992289348804</v>
      </c>
      <c r="N76" s="19">
        <f t="shared" si="5"/>
        <v>0.08548547634883445</v>
      </c>
      <c r="O76" s="19">
        <f t="shared" si="6"/>
        <v>0.19947429472357917</v>
      </c>
      <c r="P76" s="19">
        <f t="shared" si="2"/>
        <v>-0.3262717393947462</v>
      </c>
      <c r="Q76" s="19"/>
      <c r="R76" s="16">
        <f t="shared" si="3"/>
        <v>0.04966652667069364</v>
      </c>
    </row>
    <row r="77" spans="1:18" ht="12.75">
      <c r="A77" s="9" t="s">
        <v>15</v>
      </c>
      <c r="B77" s="14"/>
      <c r="C77" s="7">
        <f t="shared" si="7"/>
        <v>4499</v>
      </c>
      <c r="D77" s="8">
        <f t="shared" si="7"/>
        <v>604911069</v>
      </c>
      <c r="E77" s="8">
        <f t="shared" si="7"/>
        <v>579358330</v>
      </c>
      <c r="F77" s="8">
        <f t="shared" si="7"/>
        <v>259829774</v>
      </c>
      <c r="G77" s="8">
        <f t="shared" si="1"/>
        <v>21041789</v>
      </c>
      <c r="H77" s="8">
        <f t="shared" si="1"/>
        <v>26988229</v>
      </c>
      <c r="I77" s="8">
        <f t="shared" si="8"/>
        <v>153634372</v>
      </c>
      <c r="J77" s="8">
        <f t="shared" si="8"/>
        <v>15257037</v>
      </c>
      <c r="K77" s="8"/>
      <c r="L77" s="19">
        <f t="shared" si="4"/>
        <v>0.20361907046890582</v>
      </c>
      <c r="M77" s="19">
        <f t="shared" si="5"/>
        <v>0.23050206606365364</v>
      </c>
      <c r="N77" s="19">
        <f t="shared" si="5"/>
        <v>0.18134746437638463</v>
      </c>
      <c r="O77" s="19">
        <f t="shared" si="6"/>
        <v>0.11291890836272932</v>
      </c>
      <c r="P77" s="19">
        <f t="shared" si="2"/>
        <v>0.20681578350171262</v>
      </c>
      <c r="Q77" s="19"/>
      <c r="R77" s="16">
        <f t="shared" si="3"/>
        <v>0.08098297849421983</v>
      </c>
    </row>
    <row r="78" spans="1:18" ht="12.75">
      <c r="A78" s="10" t="s">
        <v>16</v>
      </c>
      <c r="B78" s="14"/>
      <c r="C78" s="7">
        <f t="shared" si="7"/>
        <v>4599</v>
      </c>
      <c r="D78" s="8">
        <f t="shared" si="7"/>
        <v>502576840</v>
      </c>
      <c r="E78" s="8">
        <f t="shared" si="7"/>
        <v>470830847</v>
      </c>
      <c r="F78" s="8">
        <f t="shared" si="7"/>
        <v>219943566</v>
      </c>
      <c r="G78" s="8">
        <f t="shared" si="1"/>
        <v>9335701</v>
      </c>
      <c r="H78" s="8">
        <f t="shared" si="1"/>
        <v>22239161</v>
      </c>
      <c r="I78" s="8">
        <f t="shared" si="8"/>
        <v>138046331</v>
      </c>
      <c r="J78" s="8">
        <f t="shared" si="8"/>
        <v>12642391</v>
      </c>
      <c r="K78" s="8"/>
      <c r="L78" s="19">
        <f t="shared" si="4"/>
        <v>0.14908240844074813</v>
      </c>
      <c r="M78" s="19">
        <f t="shared" si="5"/>
        <v>0.09524119128390562</v>
      </c>
      <c r="N78" s="19">
        <f t="shared" si="5"/>
        <v>0.009699954073031395</v>
      </c>
      <c r="O78" s="19">
        <f t="shared" si="6"/>
        <v>0.3285453646878886</v>
      </c>
      <c r="P78" s="19">
        <f t="shared" si="2"/>
        <v>-0.03577895355583458</v>
      </c>
      <c r="Q78" s="19"/>
      <c r="R78" s="16">
        <f t="shared" si="3"/>
        <v>0.042445892688672694</v>
      </c>
    </row>
    <row r="79" spans="1:18" ht="12.75">
      <c r="A79" t="s">
        <v>17</v>
      </c>
      <c r="C79" s="7">
        <f t="shared" si="7"/>
        <v>4528</v>
      </c>
      <c r="D79" s="8">
        <f t="shared" si="7"/>
        <v>437372321</v>
      </c>
      <c r="E79" s="8">
        <f t="shared" si="7"/>
        <v>429887819</v>
      </c>
      <c r="F79" s="8">
        <f t="shared" si="7"/>
        <v>217830619</v>
      </c>
      <c r="G79" s="8">
        <f t="shared" si="1"/>
        <v>10552367</v>
      </c>
      <c r="H79" s="8">
        <f t="shared" si="1"/>
        <v>23916931</v>
      </c>
      <c r="I79" s="8">
        <f t="shared" si="8"/>
        <v>103907879</v>
      </c>
      <c r="J79" s="8">
        <f t="shared" si="8"/>
        <v>13111507</v>
      </c>
      <c r="K79" s="8"/>
      <c r="L79" s="19">
        <f t="shared" si="4"/>
        <v>0.1164289115218944</v>
      </c>
      <c r="M79" s="19">
        <f t="shared" si="5"/>
        <v>0.10766527039600707</v>
      </c>
      <c r="N79" s="19">
        <f t="shared" si="5"/>
        <v>0.14870713282032577</v>
      </c>
      <c r="O79" s="19">
        <f t="shared" si="6"/>
        <v>0.04991833588497696</v>
      </c>
      <c r="P79" s="19">
        <f t="shared" si="2"/>
        <v>0.14369240216709597</v>
      </c>
      <c r="Q79" s="19"/>
      <c r="R79" s="16">
        <f t="shared" si="3"/>
        <v>0.04844299230495232</v>
      </c>
    </row>
    <row r="80" spans="1:18" ht="12.75">
      <c r="A80" t="s">
        <v>18</v>
      </c>
      <c r="C80" s="7">
        <f t="shared" si="7"/>
        <v>4621</v>
      </c>
      <c r="D80" s="8">
        <f t="shared" si="7"/>
        <v>391760117</v>
      </c>
      <c r="E80" s="8">
        <f t="shared" si="7"/>
        <v>388102643</v>
      </c>
      <c r="F80" s="8">
        <f t="shared" si="7"/>
        <v>189631119</v>
      </c>
      <c r="G80" s="8">
        <f t="shared" si="1"/>
        <v>5082487</v>
      </c>
      <c r="H80" s="8">
        <f t="shared" si="1"/>
        <v>17667613</v>
      </c>
      <c r="I80" s="8">
        <f t="shared" si="8"/>
        <v>98967582</v>
      </c>
      <c r="J80" s="8">
        <f t="shared" si="8"/>
        <v>11464190</v>
      </c>
      <c r="K80" s="8"/>
      <c r="L80" s="19">
        <f t="shared" si="4"/>
        <v>0.01615853969242439</v>
      </c>
      <c r="M80" s="19">
        <f t="shared" si="5"/>
        <v>-0.016928803859801517</v>
      </c>
      <c r="N80" s="19">
        <f t="shared" si="5"/>
        <v>0.0037228566633995272</v>
      </c>
      <c r="O80" s="19">
        <f t="shared" si="6"/>
        <v>0.040057363554843815</v>
      </c>
      <c r="P80" s="19">
        <f t="shared" si="2"/>
        <v>-0.0412801340713726</v>
      </c>
      <c r="Q80" s="19"/>
      <c r="R80" s="16">
        <f t="shared" si="3"/>
        <v>0.026801967033691344</v>
      </c>
    </row>
    <row r="81" spans="1:18" ht="12.75">
      <c r="A81" t="s">
        <v>19</v>
      </c>
      <c r="C81" s="7">
        <f t="shared" si="7"/>
        <v>4727</v>
      </c>
      <c r="D81" s="8">
        <f t="shared" si="7"/>
        <v>385530507</v>
      </c>
      <c r="E81" s="8">
        <f t="shared" si="7"/>
        <v>394785896</v>
      </c>
      <c r="F81" s="8">
        <f t="shared" si="7"/>
        <v>188927768</v>
      </c>
      <c r="G81" s="8">
        <f t="shared" si="1"/>
        <v>10640476</v>
      </c>
      <c r="H81" s="8">
        <f t="shared" si="1"/>
        <v>18334359</v>
      </c>
      <c r="I81" s="8">
        <f t="shared" si="8"/>
        <v>95155888</v>
      </c>
      <c r="J81" s="8">
        <f t="shared" si="8"/>
        <v>11957810</v>
      </c>
      <c r="K81" s="8"/>
      <c r="L81" s="19">
        <f t="shared" si="4"/>
        <v>0.03611615092684463</v>
      </c>
      <c r="M81" s="19">
        <f t="shared" si="5"/>
        <v>0.10383751946746984</v>
      </c>
      <c r="N81" s="19">
        <f t="shared" si="5"/>
        <v>0.18731769590703196</v>
      </c>
      <c r="O81" s="19">
        <f t="shared" si="6"/>
        <v>-0.07920081279232295</v>
      </c>
      <c r="P81" s="19">
        <f t="shared" si="2"/>
        <v>0.10795455071905151</v>
      </c>
      <c r="Q81" s="19"/>
      <c r="R81" s="16">
        <f t="shared" si="3"/>
        <v>0.05632033931613483</v>
      </c>
    </row>
    <row r="82" spans="1:16" ht="12.75">
      <c r="A82" t="s">
        <v>20</v>
      </c>
      <c r="C82" s="7">
        <f t="shared" si="7"/>
        <v>4677</v>
      </c>
      <c r="D82" s="8">
        <f t="shared" si="7"/>
        <v>372091977</v>
      </c>
      <c r="E82" s="8">
        <f t="shared" si="7"/>
        <v>357648557</v>
      </c>
      <c r="F82" s="8">
        <f t="shared" si="7"/>
        <v>159121496</v>
      </c>
      <c r="G82" s="8">
        <f t="shared" si="1"/>
        <v>5152987</v>
      </c>
      <c r="H82" s="8">
        <f t="shared" si="1"/>
        <v>14815921</v>
      </c>
      <c r="I82" s="8">
        <f t="shared" si="8"/>
        <v>103340543</v>
      </c>
      <c r="J82" s="8">
        <f t="shared" si="8"/>
        <v>10792690</v>
      </c>
      <c r="K82" s="8"/>
      <c r="L82" s="8"/>
      <c r="M82" s="8"/>
      <c r="N82" s="8"/>
      <c r="O82" s="16"/>
      <c r="P82" s="16"/>
    </row>
    <row r="84" ht="12.75">
      <c r="H84">
        <v>52753676</v>
      </c>
    </row>
    <row r="85" spans="5:9" ht="12.75">
      <c r="E85" t="s">
        <v>36</v>
      </c>
      <c r="F85" s="22">
        <f>229926852+3812893</f>
        <v>233739745</v>
      </c>
      <c r="G85" s="22">
        <v>17177803</v>
      </c>
      <c r="H85" s="22"/>
      <c r="I85" t="s">
        <v>34</v>
      </c>
    </row>
    <row r="86" spans="5:9" ht="12.75">
      <c r="E86" t="s">
        <v>37</v>
      </c>
      <c r="F86" s="22">
        <f>1250+413954+177610880</f>
        <v>178026084</v>
      </c>
      <c r="G86" s="22">
        <v>67175304</v>
      </c>
      <c r="H86" s="22"/>
      <c r="I86" t="s">
        <v>32</v>
      </c>
    </row>
    <row r="88" ht="12.75">
      <c r="F88" s="22">
        <f>F85+F86</f>
        <v>411765829</v>
      </c>
    </row>
    <row r="89" spans="7:9" ht="12.75">
      <c r="G89" s="22">
        <v>18060347</v>
      </c>
      <c r="H89" s="22"/>
      <c r="I89" t="s">
        <v>33</v>
      </c>
    </row>
    <row r="90" spans="7:9" ht="12.75">
      <c r="G90" s="22">
        <v>32659042</v>
      </c>
      <c r="H90" s="22"/>
      <c r="I90" t="s">
        <v>35</v>
      </c>
    </row>
    <row r="94" ht="12.75">
      <c r="I94" t="s">
        <v>47</v>
      </c>
    </row>
    <row r="95" spans="9:11" ht="12.75">
      <c r="I95" s="23" t="s">
        <v>39</v>
      </c>
      <c r="J95" s="23" t="s">
        <v>40</v>
      </c>
      <c r="K95" s="23"/>
    </row>
    <row r="96" spans="9:11" ht="12.75">
      <c r="I96" s="22"/>
      <c r="J96" s="22"/>
      <c r="K96" s="22"/>
    </row>
    <row r="97" spans="8:11" ht="12.75">
      <c r="H97" t="s">
        <v>41</v>
      </c>
      <c r="I97" s="22">
        <f>10799824+10500+13600</f>
        <v>10823924</v>
      </c>
      <c r="J97" s="22">
        <f>11653173+13000</f>
        <v>11666173</v>
      </c>
      <c r="K97" s="22">
        <f>I97-J97</f>
        <v>-842249</v>
      </c>
    </row>
    <row r="98" spans="8:11" ht="12.75">
      <c r="H98" t="s">
        <v>42</v>
      </c>
      <c r="I98" s="22">
        <f>5915257+114750+129200+985</f>
        <v>6160192</v>
      </c>
      <c r="J98" s="22">
        <f>471800</f>
        <v>471800</v>
      </c>
      <c r="K98" s="22">
        <f aca="true" t="shared" si="9" ref="K98:K105">I98-J98</f>
        <v>5688392</v>
      </c>
    </row>
    <row r="99" spans="8:11" ht="12.75">
      <c r="H99" t="s">
        <v>43</v>
      </c>
      <c r="I99" s="22">
        <f>6421927+66000+32500</f>
        <v>6520427</v>
      </c>
      <c r="J99" s="22">
        <f>4060613+23500</f>
        <v>4084113</v>
      </c>
      <c r="K99" s="22">
        <f t="shared" si="9"/>
        <v>2436314</v>
      </c>
    </row>
    <row r="100" spans="8:11" ht="12.75">
      <c r="H100" t="s">
        <v>44</v>
      </c>
      <c r="I100" s="22">
        <f>5945924+20000+5250</f>
        <v>5971174</v>
      </c>
      <c r="J100" s="22">
        <f>5881416+5000</f>
        <v>5886416</v>
      </c>
      <c r="K100" s="22">
        <f t="shared" si="9"/>
        <v>84758</v>
      </c>
    </row>
    <row r="101" spans="8:11" ht="12.75">
      <c r="H101" t="s">
        <v>45</v>
      </c>
      <c r="I101" s="22">
        <f>190500+1000</f>
        <v>191500</v>
      </c>
      <c r="J101" s="22">
        <v>178603</v>
      </c>
      <c r="K101" s="22">
        <f t="shared" si="9"/>
        <v>12897</v>
      </c>
    </row>
    <row r="102" spans="8:11" ht="12.75">
      <c r="H102" t="s">
        <v>46</v>
      </c>
      <c r="I102" s="22">
        <f>326500+1000</f>
        <v>327500</v>
      </c>
      <c r="J102" s="22">
        <v>322250</v>
      </c>
      <c r="K102" s="22">
        <f t="shared" si="9"/>
        <v>5250</v>
      </c>
    </row>
    <row r="103" spans="9:11" ht="12.75">
      <c r="I103" s="22"/>
      <c r="J103" s="22"/>
      <c r="K103" s="22">
        <f t="shared" si="9"/>
        <v>0</v>
      </c>
    </row>
    <row r="104" spans="9:11" ht="12.75">
      <c r="I104" s="22"/>
      <c r="J104" s="22"/>
      <c r="K104" s="22">
        <f t="shared" si="9"/>
        <v>0</v>
      </c>
    </row>
    <row r="105" spans="9:11" ht="12.75">
      <c r="I105" s="22">
        <f>SUM(I97:I102)</f>
        <v>29994717</v>
      </c>
      <c r="J105" s="22">
        <f>SUM(J97:J102)</f>
        <v>22609355</v>
      </c>
      <c r="K105" s="22">
        <f t="shared" si="9"/>
        <v>7385362</v>
      </c>
    </row>
    <row r="108" ht="12.75">
      <c r="I108" t="s">
        <v>48</v>
      </c>
    </row>
    <row r="109" spans="9:11" ht="12.75">
      <c r="I109" s="23" t="s">
        <v>39</v>
      </c>
      <c r="J109" s="23" t="s">
        <v>40</v>
      </c>
      <c r="K109" s="23"/>
    </row>
    <row r="110" spans="9:11" ht="12.75">
      <c r="I110" s="22"/>
      <c r="J110" s="22"/>
      <c r="K110" s="22"/>
    </row>
    <row r="111" spans="8:11" ht="12.75">
      <c r="H111" t="s">
        <v>41</v>
      </c>
      <c r="I111" s="22">
        <f>7442763+136853</f>
        <v>7579616</v>
      </c>
      <c r="J111" s="22">
        <f>12069789+23500</f>
        <v>12093289</v>
      </c>
      <c r="K111" s="22">
        <f>I111-J111</f>
        <v>-4513673</v>
      </c>
    </row>
    <row r="112" spans="8:11" ht="12.75">
      <c r="H112" t="s">
        <v>42</v>
      </c>
      <c r="I112" s="22">
        <f>5442089+416500</f>
        <v>5858589</v>
      </c>
      <c r="J112" s="22">
        <v>591900</v>
      </c>
      <c r="K112" s="22">
        <f aca="true" t="shared" si="10" ref="K112:K119">I112-J112</f>
        <v>5266689</v>
      </c>
    </row>
    <row r="113" spans="8:11" ht="12.75">
      <c r="H113" t="s">
        <v>43</v>
      </c>
      <c r="I113" s="22">
        <f>4328160+234309</f>
        <v>4562469</v>
      </c>
      <c r="J113" s="22">
        <f>5029858+30000</f>
        <v>5059858</v>
      </c>
      <c r="K113" s="22">
        <f t="shared" si="10"/>
        <v>-497389</v>
      </c>
    </row>
    <row r="114" spans="8:11" ht="12.75">
      <c r="H114" t="s">
        <v>44</v>
      </c>
      <c r="I114" s="22">
        <f>4156096+56950</f>
        <v>4213046</v>
      </c>
      <c r="J114" s="22">
        <v>6350957</v>
      </c>
      <c r="K114" s="22">
        <f t="shared" si="10"/>
        <v>-2137911</v>
      </c>
    </row>
    <row r="115" spans="8:11" ht="12.75">
      <c r="H115" t="s">
        <v>45</v>
      </c>
      <c r="I115" s="22">
        <f>159500+500</f>
        <v>160000</v>
      </c>
      <c r="J115" s="22">
        <v>128000</v>
      </c>
      <c r="K115" s="22">
        <f t="shared" si="10"/>
        <v>32000</v>
      </c>
    </row>
    <row r="116" spans="8:11" ht="12.75">
      <c r="H116" t="s">
        <v>46</v>
      </c>
      <c r="I116" s="22">
        <f>363050+3000</f>
        <v>366050</v>
      </c>
      <c r="J116" s="22">
        <v>427600</v>
      </c>
      <c r="K116" s="22">
        <f t="shared" si="10"/>
        <v>-61550</v>
      </c>
    </row>
    <row r="117" ht="12.75">
      <c r="K117" s="22">
        <f t="shared" si="10"/>
        <v>0</v>
      </c>
    </row>
    <row r="118" spans="9:11" ht="12.75">
      <c r="I118" s="22">
        <f>SUM(I111:I116)</f>
        <v>22739770</v>
      </c>
      <c r="J118" s="22">
        <f>SUM(J111:J116)</f>
        <v>24651604</v>
      </c>
      <c r="K118" s="22">
        <f t="shared" si="10"/>
        <v>-1911834</v>
      </c>
    </row>
    <row r="119" ht="12.75">
      <c r="K119" s="22">
        <f t="shared" si="10"/>
        <v>0</v>
      </c>
    </row>
    <row r="121" ht="12.75">
      <c r="I121" t="s">
        <v>49</v>
      </c>
    </row>
    <row r="122" spans="9:11" ht="12.75">
      <c r="I122" s="23" t="s">
        <v>39</v>
      </c>
      <c r="J122" s="23" t="s">
        <v>40</v>
      </c>
      <c r="K122" s="23"/>
    </row>
    <row r="123" spans="9:11" ht="12.75">
      <c r="I123" s="22"/>
      <c r="J123" s="22"/>
      <c r="K123" s="22"/>
    </row>
    <row r="124" spans="8:11" ht="12.75">
      <c r="H124" t="s">
        <v>41</v>
      </c>
      <c r="I124" s="22">
        <f>6794238+2250</f>
        <v>6796488</v>
      </c>
      <c r="J124" s="22">
        <f>11833644+79900</f>
        <v>11913544</v>
      </c>
      <c r="K124" s="22">
        <f>I124-J124</f>
        <v>-5117056</v>
      </c>
    </row>
    <row r="125" spans="8:11" ht="12.75">
      <c r="H125" t="s">
        <v>42</v>
      </c>
      <c r="I125" s="22">
        <f>5900173+79940+15000</f>
        <v>5995113</v>
      </c>
      <c r="J125" s="22">
        <v>390350</v>
      </c>
      <c r="K125" s="22">
        <f aca="true" t="shared" si="11" ref="K125:K132">I125-J125</f>
        <v>5604763</v>
      </c>
    </row>
    <row r="126" spans="8:11" ht="12.75">
      <c r="H126" t="s">
        <v>43</v>
      </c>
      <c r="I126" s="22">
        <f>3327777+34298+14670</f>
        <v>3376745</v>
      </c>
      <c r="J126" s="22">
        <f>51227+4236935</f>
        <v>4288162</v>
      </c>
      <c r="K126" s="22">
        <f t="shared" si="11"/>
        <v>-911417</v>
      </c>
    </row>
    <row r="127" spans="8:11" ht="12.75">
      <c r="H127" t="s">
        <v>44</v>
      </c>
      <c r="I127" s="22">
        <f>3865321+10000+2768+12000</f>
        <v>3890089</v>
      </c>
      <c r="J127" s="22">
        <f>23500+5050449+5000</f>
        <v>5078949</v>
      </c>
      <c r="K127" s="22">
        <f t="shared" si="11"/>
        <v>-1188860</v>
      </c>
    </row>
    <row r="128" spans="8:11" ht="12.75">
      <c r="H128" t="s">
        <v>45</v>
      </c>
      <c r="I128" s="22">
        <v>97500</v>
      </c>
      <c r="J128" s="22">
        <v>70550</v>
      </c>
      <c r="K128" s="22">
        <f t="shared" si="11"/>
        <v>26950</v>
      </c>
    </row>
    <row r="129" spans="8:11" ht="12.75">
      <c r="H129" t="s">
        <v>46</v>
      </c>
      <c r="I129" s="22">
        <v>341700</v>
      </c>
      <c r="J129" s="22">
        <v>355600</v>
      </c>
      <c r="K129" s="22">
        <f t="shared" si="11"/>
        <v>-13900</v>
      </c>
    </row>
    <row r="130" ht="12.75">
      <c r="K130" s="22">
        <f t="shared" si="11"/>
        <v>0</v>
      </c>
    </row>
    <row r="131" spans="9:11" ht="12.75">
      <c r="I131" s="22">
        <f>SUM(I124:I129)</f>
        <v>20497635</v>
      </c>
      <c r="J131" s="22">
        <f>SUM(J124:J129)</f>
        <v>22097155</v>
      </c>
      <c r="K131" s="22">
        <f t="shared" si="11"/>
        <v>-1599520</v>
      </c>
    </row>
    <row r="132" ht="12.75">
      <c r="K132" s="22">
        <f t="shared" si="11"/>
        <v>0</v>
      </c>
    </row>
    <row r="133" ht="12.75">
      <c r="I133" t="s">
        <v>50</v>
      </c>
    </row>
    <row r="134" spans="9:11" ht="12.75">
      <c r="I134" s="23" t="s">
        <v>39</v>
      </c>
      <c r="J134" s="23" t="s">
        <v>40</v>
      </c>
      <c r="K134" s="23"/>
    </row>
    <row r="135" spans="9:11" ht="12.75">
      <c r="I135" s="22"/>
      <c r="J135" s="22"/>
      <c r="K135" s="22"/>
    </row>
    <row r="136" spans="8:11" ht="12.75">
      <c r="H136" t="s">
        <v>41</v>
      </c>
      <c r="I136" s="22">
        <f>3732527+11100</f>
        <v>3743627</v>
      </c>
      <c r="J136" s="22">
        <f>20911+4562726</f>
        <v>4583637</v>
      </c>
      <c r="K136" s="22">
        <f>I136-J136</f>
        <v>-840010</v>
      </c>
    </row>
    <row r="137" spans="8:11" ht="12.75">
      <c r="H137" t="s">
        <v>42</v>
      </c>
      <c r="I137" s="22">
        <f>4931135+23500+11050</f>
        <v>4965685</v>
      </c>
      <c r="J137" s="22">
        <f>271600</f>
        <v>271600</v>
      </c>
      <c r="K137" s="22">
        <f aca="true" t="shared" si="12" ref="K137:K144">I137-J137</f>
        <v>4694085</v>
      </c>
    </row>
    <row r="138" spans="8:11" ht="12.75">
      <c r="H138" t="s">
        <v>43</v>
      </c>
      <c r="I138" s="22">
        <f>2493990+5600+6445</f>
        <v>2506035</v>
      </c>
      <c r="J138" s="22">
        <f>5000+2145884+5000</f>
        <v>2155884</v>
      </c>
      <c r="K138" s="22">
        <f t="shared" si="12"/>
        <v>350151</v>
      </c>
    </row>
    <row r="139" spans="8:11" ht="12.75">
      <c r="H139" t="s">
        <v>44</v>
      </c>
      <c r="I139" s="22">
        <f>2675093+11362</f>
        <v>2686455</v>
      </c>
      <c r="J139" s="22">
        <f>5000+2891589</f>
        <v>2896589</v>
      </c>
      <c r="K139" s="22">
        <f t="shared" si="12"/>
        <v>-210134</v>
      </c>
    </row>
    <row r="140" spans="8:11" ht="12.75">
      <c r="H140" t="s">
        <v>45</v>
      </c>
      <c r="I140" s="22">
        <v>62700</v>
      </c>
      <c r="J140" s="22">
        <v>67600</v>
      </c>
      <c r="K140" s="22">
        <f t="shared" si="12"/>
        <v>-4900</v>
      </c>
    </row>
    <row r="141" spans="8:11" ht="12.75">
      <c r="H141" t="s">
        <v>46</v>
      </c>
      <c r="I141" s="22">
        <v>260800</v>
      </c>
      <c r="J141" s="22">
        <f>5000+178009</f>
        <v>183009</v>
      </c>
      <c r="K141" s="22">
        <f t="shared" si="12"/>
        <v>77791</v>
      </c>
    </row>
    <row r="142" ht="12.75">
      <c r="K142" s="22">
        <f t="shared" si="12"/>
        <v>0</v>
      </c>
    </row>
    <row r="143" spans="9:11" ht="12.75">
      <c r="I143" s="22">
        <f>SUM(I136:I141)</f>
        <v>14225302</v>
      </c>
      <c r="J143" s="22">
        <f>SUM(J136:J141)</f>
        <v>10158319</v>
      </c>
      <c r="K143" s="22">
        <f t="shared" si="12"/>
        <v>4066983</v>
      </c>
    </row>
    <row r="144" ht="12.75">
      <c r="K144" s="22">
        <f t="shared" si="12"/>
        <v>0</v>
      </c>
    </row>
    <row r="145" ht="12.75">
      <c r="I145" t="s">
        <v>51</v>
      </c>
    </row>
    <row r="146" spans="9:11" ht="12.75">
      <c r="I146" s="23" t="s">
        <v>39</v>
      </c>
      <c r="J146" s="23" t="s">
        <v>40</v>
      </c>
      <c r="K146" s="23"/>
    </row>
    <row r="147" spans="9:11" ht="12.75">
      <c r="I147" s="22"/>
      <c r="J147" s="22"/>
      <c r="K147" s="22"/>
    </row>
    <row r="148" spans="8:11" ht="12.75">
      <c r="H148" t="s">
        <v>41</v>
      </c>
      <c r="I148" s="22">
        <v>4055999</v>
      </c>
      <c r="J148" s="22">
        <v>5462555</v>
      </c>
      <c r="K148" s="22">
        <f>I148-J148</f>
        <v>-1406556</v>
      </c>
    </row>
    <row r="149" spans="8:11" ht="12.75">
      <c r="H149" t="s">
        <v>42</v>
      </c>
      <c r="I149" s="22">
        <f>5818313+82000</f>
        <v>5900313</v>
      </c>
      <c r="J149" s="22">
        <v>281646</v>
      </c>
      <c r="K149" s="22">
        <f aca="true" t="shared" si="13" ref="K149:K156">I149-J149</f>
        <v>5618667</v>
      </c>
    </row>
    <row r="150" spans="8:11" ht="12.75">
      <c r="H150" t="s">
        <v>43</v>
      </c>
      <c r="I150" s="22">
        <f>2163750+19778</f>
        <v>2183528</v>
      </c>
      <c r="J150" s="22">
        <v>1713465</v>
      </c>
      <c r="K150" s="22">
        <f t="shared" si="13"/>
        <v>470063</v>
      </c>
    </row>
    <row r="151" spans="8:11" ht="12.75">
      <c r="H151" t="s">
        <v>44</v>
      </c>
      <c r="I151" s="22">
        <f>3126737+8000</f>
        <v>3134737</v>
      </c>
      <c r="J151" s="22">
        <v>3358165</v>
      </c>
      <c r="K151" s="22">
        <f t="shared" si="13"/>
        <v>-223428</v>
      </c>
    </row>
    <row r="152" spans="8:11" ht="12.75">
      <c r="H152" t="s">
        <v>45</v>
      </c>
      <c r="I152" s="22">
        <v>58246</v>
      </c>
      <c r="J152" s="22">
        <v>51000</v>
      </c>
      <c r="K152" s="22">
        <f t="shared" si="13"/>
        <v>7246</v>
      </c>
    </row>
    <row r="153" spans="8:11" ht="12.75">
      <c r="H153" t="s">
        <v>46</v>
      </c>
      <c r="I153" s="22">
        <f>430500+1000</f>
        <v>431500</v>
      </c>
      <c r="J153" s="22">
        <v>299925</v>
      </c>
      <c r="K153" s="22">
        <f t="shared" si="13"/>
        <v>131575</v>
      </c>
    </row>
    <row r="154" ht="12.75">
      <c r="K154" s="22">
        <f t="shared" si="13"/>
        <v>0</v>
      </c>
    </row>
    <row r="155" spans="9:11" ht="12.75">
      <c r="I155" s="22">
        <f>SUM(I148:I153)</f>
        <v>15764323</v>
      </c>
      <c r="J155" s="22">
        <f>SUM(J148:J153)</f>
        <v>11166756</v>
      </c>
      <c r="K155" s="22">
        <f t="shared" si="13"/>
        <v>4597567</v>
      </c>
    </row>
    <row r="156" ht="12.75">
      <c r="K156" s="22">
        <f t="shared" si="13"/>
        <v>0</v>
      </c>
    </row>
  </sheetData>
  <sheetProtection/>
  <mergeCells count="3">
    <mergeCell ref="A2:J2"/>
    <mergeCell ref="A3:J3"/>
    <mergeCell ref="A1:J1"/>
  </mergeCells>
  <printOptions/>
  <pageMargins left="0.5" right="0.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Carmen E. Gray</cp:lastModifiedBy>
  <cp:lastPrinted>2009-03-23T14:59:16Z</cp:lastPrinted>
  <dcterms:created xsi:type="dcterms:W3CDTF">2003-03-26T19:03:11Z</dcterms:created>
  <dcterms:modified xsi:type="dcterms:W3CDTF">2009-04-15T18:03:04Z</dcterms:modified>
  <cp:category/>
  <cp:version/>
  <cp:contentType/>
  <cp:contentStatus/>
</cp:coreProperties>
</file>