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416" windowWidth="14388" windowHeight="51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<sst xmlns="http://schemas.openxmlformats.org/spreadsheetml/2006/main" count="63" uniqueCount="61">
  <si>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National Party Transfers to State/Local Party Committees</t>
  </si>
  <si>
    <t>Senatorial Campaign Committees</t>
  </si>
  <si>
    <t>Congressional Campaign Committees</t>
  </si>
  <si>
    <t>State</t>
  </si>
  <si>
    <t xml:space="preserve">RNC </t>
  </si>
  <si>
    <t>DNC</t>
  </si>
  <si>
    <t>Republican</t>
  </si>
  <si>
    <t>Democratic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</si>
  <si>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</si>
  <si>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</si>
  <si>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</si>
  <si>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</si>
  <si>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</si>
  <si>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</si>
  <si>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</si>
  <si>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</si>
  <si>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</si>
  <si>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</si>
  <si>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</si>
  <si>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</si>
  <si>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</si>
  <si>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</si>
  <si>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</si>
  <si>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</si>
  <si>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</si>
  <si>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</si>
  <si>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</si>
  <si>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</si>
  <si>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</si>
  <si>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</si>
  <si>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</si>
  <si>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</si>
  <si>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</si>
  <si>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</si>
  <si>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</si>
  <si>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</si>
  <si>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</si>
  <si>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</si>
  <si>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</si>
  <si>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</si>
  <si>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</si>
  <si>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</si>
  <si>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</si>
  <si>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</si>
  <si>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</si>
  <si>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</si>
  <si>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</si>
  <si>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</si>
  <si>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</si>
  <si>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</si>
  <si>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</si>
  <si>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</si>
  <si>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</si>
  <si>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</si>
  <si>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</si>
  <si>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</si>
  <si>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</si>
  <si>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</si>
  <si>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</si>
  <si>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As reported by national party committees.</t>
  </si>
  <si>
    <t>January 1, 2005 - October 18,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</si>
</sst>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5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D1" sqref="D1:D16384"/>
    </sheetView>
  </sheetViews>
  <sheetFormatPr defaultColWidth="9.140625" defaultRowHeight="12.75"/>
  <cols>
    <col min="1" max="1" width="13.28125" style="0" customWidth="1"/>
    <col min="2" max="2" width="11.7109375" style="0" customWidth="1"/>
    <col min="3" max="3" width="11.57421875" style="0" customWidth="1"/>
    <col min="4" max="4" width="12.8515625" style="0" customWidth="1"/>
    <col min="5" max="5" width="15.140625" style="0" customWidth="1"/>
    <col min="6" max="6" width="11.7109375" style="0" customWidth="1"/>
    <col min="7" max="7" width="12.28125" style="0" customWidth="1"/>
  </cols>
  <sheetData>
    <row r="1" spans="4:6" ht="12.75">
      <c r="D1" s="1" t="s">
        <v>0</v>
      </c>
      <c r="E1" s="2"/>
      <c r="F1" s="2"/>
    </row>
    <row r="2" spans="4:5" ht="12.75">
      <c r="D2" s="1" t="s">
        <v>60</v>
      </c>
      <c r="E2" s="3"/>
    </row>
    <row r="3" spans="2:7" ht="12.75">
      <c r="B3" s="4"/>
      <c r="C3" s="5"/>
      <c r="D3" s="2" t="s">
        <v>1</v>
      </c>
      <c r="E3" s="6"/>
      <c r="F3" s="7" t="s">
        <v>2</v>
      </c>
      <c r="G3" s="1"/>
    </row>
    <row r="4" spans="1:7" ht="12.75">
      <c r="A4" s="8" t="s">
        <v>3</v>
      </c>
      <c r="B4" s="9" t="s">
        <v>4</v>
      </c>
      <c r="C4" s="10" t="s">
        <v>5</v>
      </c>
      <c r="D4" s="9" t="s">
        <v>6</v>
      </c>
      <c r="E4" s="10" t="s">
        <v>7</v>
      </c>
      <c r="F4" s="9" t="s">
        <v>6</v>
      </c>
      <c r="G4" s="9" t="s">
        <v>7</v>
      </c>
    </row>
    <row r="5" spans="3:7" ht="12.75">
      <c r="C5" s="3"/>
      <c r="D5" s="11"/>
      <c r="E5" s="6"/>
      <c r="F5" s="11"/>
      <c r="G5" s="11"/>
    </row>
    <row r="6" spans="1:7" ht="12.75">
      <c r="A6" t="s">
        <v>8</v>
      </c>
      <c r="B6" s="2">
        <f>54500</f>
        <v>54500</v>
      </c>
      <c r="C6" s="5">
        <f>65363+10000</f>
        <v>75363</v>
      </c>
      <c r="D6" s="2">
        <v>0</v>
      </c>
      <c r="E6" s="5">
        <v>0</v>
      </c>
      <c r="F6" s="2">
        <v>0</v>
      </c>
      <c r="G6" s="2">
        <v>0</v>
      </c>
    </row>
    <row r="7" spans="1:7" ht="12.75">
      <c r="A7" t="s">
        <v>9</v>
      </c>
      <c r="B7" s="2">
        <v>0</v>
      </c>
      <c r="C7" s="5">
        <f>63409</f>
        <v>63409</v>
      </c>
      <c r="D7" s="2">
        <v>0</v>
      </c>
      <c r="E7" s="5">
        <v>5000</v>
      </c>
      <c r="F7" s="2">
        <v>0</v>
      </c>
      <c r="G7" s="2">
        <v>0</v>
      </c>
    </row>
    <row r="8" spans="1:7" ht="12.75">
      <c r="A8" t="s">
        <v>10</v>
      </c>
      <c r="B8" s="2">
        <f>742000+35200</f>
        <v>777200</v>
      </c>
      <c r="C8" s="5">
        <f>514586+35625+30000+3561</f>
        <v>583772</v>
      </c>
      <c r="D8" s="2">
        <v>0</v>
      </c>
      <c r="E8" s="5">
        <f>16618+82500+633769+82500</f>
        <v>815387</v>
      </c>
      <c r="F8" s="2">
        <f>300000</f>
        <v>300000</v>
      </c>
      <c r="G8" s="2">
        <f>569+145000+75000</f>
        <v>220569</v>
      </c>
    </row>
    <row r="9" spans="1:7" ht="12.75">
      <c r="A9" t="s">
        <v>11</v>
      </c>
      <c r="B9" s="2">
        <f>65500</f>
        <v>65500</v>
      </c>
      <c r="C9" s="5">
        <f>164757+16667+20000</f>
        <v>201424</v>
      </c>
      <c r="D9" s="2">
        <v>0</v>
      </c>
      <c r="E9" s="5">
        <v>0</v>
      </c>
      <c r="F9" s="2">
        <v>0</v>
      </c>
      <c r="G9" s="2">
        <v>0</v>
      </c>
    </row>
    <row r="10" spans="1:7" ht="12.75">
      <c r="A10" t="s">
        <v>12</v>
      </c>
      <c r="B10" s="2">
        <f>182000</f>
        <v>182000</v>
      </c>
      <c r="C10" s="5">
        <f>532422+11067</f>
        <v>543489</v>
      </c>
      <c r="D10" s="2">
        <v>0</v>
      </c>
      <c r="E10" s="5">
        <v>0</v>
      </c>
      <c r="F10" s="2">
        <f>25000+13000</f>
        <v>38000</v>
      </c>
      <c r="G10" s="2">
        <f>60000</f>
        <v>60000</v>
      </c>
    </row>
    <row r="11" spans="1:7" ht="12.75">
      <c r="A11" t="s">
        <v>13</v>
      </c>
      <c r="B11" s="2">
        <f>778070</f>
        <v>778070</v>
      </c>
      <c r="C11" s="5">
        <f>327587+40000+50000+50000+5000+4162+30000</f>
        <v>506749</v>
      </c>
      <c r="D11" s="2">
        <v>0</v>
      </c>
      <c r="E11" s="5">
        <v>0</v>
      </c>
      <c r="F11" s="2">
        <v>10000</v>
      </c>
      <c r="G11" s="2">
        <f>569+50000+62000+163000+30000</f>
        <v>305569</v>
      </c>
    </row>
    <row r="12" spans="1:7" ht="12.75">
      <c r="A12" t="s">
        <v>14</v>
      </c>
      <c r="B12" s="2">
        <f>263700+3800+4800</f>
        <v>272300</v>
      </c>
      <c r="C12" s="5">
        <f>120531+5000+120000</f>
        <v>245531</v>
      </c>
      <c r="D12" s="2">
        <v>0</v>
      </c>
      <c r="E12" s="5">
        <v>0</v>
      </c>
      <c r="F12" s="2">
        <v>2000</v>
      </c>
      <c r="G12" s="2">
        <f>25000+25000+55000+20000+134500</f>
        <v>259500</v>
      </c>
    </row>
    <row r="13" spans="1:7" ht="12.75">
      <c r="A13" t="s">
        <v>15</v>
      </c>
      <c r="B13" s="2">
        <v>100</v>
      </c>
      <c r="C13" s="5">
        <f>12162</f>
        <v>12162</v>
      </c>
      <c r="D13" s="2">
        <v>0</v>
      </c>
      <c r="E13" s="5">
        <v>0</v>
      </c>
      <c r="F13" s="2">
        <v>0</v>
      </c>
      <c r="G13" s="2">
        <v>0</v>
      </c>
    </row>
    <row r="14" spans="1:7" ht="12.75">
      <c r="A14" t="s">
        <v>16</v>
      </c>
      <c r="B14" s="2">
        <f>404400+250000+100000+250000</f>
        <v>1004400</v>
      </c>
      <c r="C14" s="5">
        <f>501109+28333+40000+10000+5000+3000+1832+105000</f>
        <v>694274</v>
      </c>
      <c r="D14" s="2">
        <v>0</v>
      </c>
      <c r="E14" s="5">
        <f>180081+19000</f>
        <v>199081</v>
      </c>
      <c r="F14" s="2">
        <v>0</v>
      </c>
      <c r="G14" s="2">
        <f>25000+50000+25000+55000+50000+30000+216000+75000+65000+216000+15000+85000</f>
        <v>907000</v>
      </c>
    </row>
    <row r="15" spans="1:7" ht="12.75">
      <c r="A15" t="s">
        <v>17</v>
      </c>
      <c r="B15" s="2">
        <f>279400</f>
        <v>279400</v>
      </c>
      <c r="C15" s="5">
        <f>55542+3467</f>
        <v>59009</v>
      </c>
      <c r="D15" s="2">
        <v>0</v>
      </c>
      <c r="E15" s="5">
        <v>0</v>
      </c>
      <c r="F15" s="2">
        <v>0</v>
      </c>
      <c r="G15" s="2">
        <f>77200+25000+230000+25000+75000</f>
        <v>432200</v>
      </c>
    </row>
    <row r="16" spans="1:7" ht="12.75">
      <c r="A16" t="s">
        <v>18</v>
      </c>
      <c r="B16" s="2">
        <f>56900</f>
        <v>56900</v>
      </c>
      <c r="C16" s="5">
        <f>53207</f>
        <v>53207</v>
      </c>
      <c r="D16" s="2">
        <v>0</v>
      </c>
      <c r="E16" s="5">
        <v>0</v>
      </c>
      <c r="F16" s="2">
        <v>0</v>
      </c>
      <c r="G16" s="2">
        <v>0</v>
      </c>
    </row>
    <row r="17" spans="1:7" ht="12.75">
      <c r="A17" t="s">
        <v>19</v>
      </c>
      <c r="B17" s="2">
        <v>4300</v>
      </c>
      <c r="C17" s="5">
        <f>40819</f>
        <v>40819</v>
      </c>
      <c r="D17" s="2">
        <v>0</v>
      </c>
      <c r="E17" s="5">
        <v>0</v>
      </c>
      <c r="F17" s="2">
        <v>0</v>
      </c>
      <c r="G17" s="2">
        <v>0</v>
      </c>
    </row>
    <row r="18" spans="1:7" ht="12.75">
      <c r="A18" t="s">
        <v>20</v>
      </c>
      <c r="B18" s="2">
        <f>1170100+100000</f>
        <v>1270100</v>
      </c>
      <c r="C18" s="5">
        <f>61247</f>
        <v>61247</v>
      </c>
      <c r="D18" s="2">
        <v>0</v>
      </c>
      <c r="E18" s="5">
        <v>0</v>
      </c>
      <c r="F18" s="2">
        <v>0</v>
      </c>
      <c r="G18" s="2">
        <f>43000+56000+47000+52000+52000+58000+58000+52000+34000+18000</f>
        <v>470000</v>
      </c>
    </row>
    <row r="19" spans="1:7" ht="12.75">
      <c r="A19" t="s">
        <v>21</v>
      </c>
      <c r="B19" s="2">
        <f>968900+114400+3706</f>
        <v>1087006</v>
      </c>
      <c r="C19" s="5">
        <f>205979+25000+60000+50000+1050+7500+20000</f>
        <v>369529</v>
      </c>
      <c r="D19" s="2">
        <v>0</v>
      </c>
      <c r="E19" s="5">
        <v>0</v>
      </c>
      <c r="F19" s="2">
        <v>0</v>
      </c>
      <c r="G19" s="2">
        <f>106000+50000+76000+155000</f>
        <v>387000</v>
      </c>
    </row>
    <row r="20" spans="1:7" ht="12.75">
      <c r="A20" t="s">
        <v>22</v>
      </c>
      <c r="B20" s="2">
        <f>580900+147000+23000</f>
        <v>750900</v>
      </c>
      <c r="C20" s="5">
        <f>358034+5000+33000+25000+33000+24000</f>
        <v>478034</v>
      </c>
      <c r="D20" s="2">
        <v>0</v>
      </c>
      <c r="E20" s="5">
        <v>0</v>
      </c>
      <c r="F20" s="2">
        <v>0</v>
      </c>
      <c r="G20" s="2">
        <f>75569+25000+56000+50000</f>
        <v>206569</v>
      </c>
    </row>
    <row r="21" spans="1:7" ht="12.75">
      <c r="A21" t="s">
        <v>23</v>
      </c>
      <c r="B21" s="2">
        <v>0</v>
      </c>
      <c r="C21" s="5">
        <f>115120+27500</f>
        <v>142620</v>
      </c>
      <c r="D21" s="2">
        <v>0</v>
      </c>
      <c r="E21" s="5">
        <v>0</v>
      </c>
      <c r="F21" s="2">
        <v>0</v>
      </c>
      <c r="G21" s="2">
        <v>0</v>
      </c>
    </row>
    <row r="22" spans="1:7" ht="12.75">
      <c r="A22" t="s">
        <v>24</v>
      </c>
      <c r="B22" s="2">
        <f>597500+20500</f>
        <v>618000</v>
      </c>
      <c r="C22" s="5">
        <f>62043+20000</f>
        <v>82043</v>
      </c>
      <c r="D22" s="2">
        <v>0</v>
      </c>
      <c r="E22" s="5">
        <v>0</v>
      </c>
      <c r="F22" s="2">
        <v>0</v>
      </c>
      <c r="G22" s="2">
        <f>200000</f>
        <v>200000</v>
      </c>
    </row>
    <row r="23" spans="1:7" ht="12.75">
      <c r="A23" t="s">
        <v>25</v>
      </c>
      <c r="B23" s="2">
        <v>0</v>
      </c>
      <c r="C23" s="5">
        <f>69945</f>
        <v>69945</v>
      </c>
      <c r="D23" s="2">
        <v>0</v>
      </c>
      <c r="E23" s="5">
        <v>0</v>
      </c>
      <c r="F23" s="2">
        <v>0</v>
      </c>
      <c r="G23" s="2">
        <f>7500+56460</f>
        <v>63960</v>
      </c>
    </row>
    <row r="24" spans="1:7" ht="12.75">
      <c r="A24" t="s">
        <v>26</v>
      </c>
      <c r="B24" s="2">
        <v>0</v>
      </c>
      <c r="C24" s="5">
        <f>116957+10000</f>
        <v>126957</v>
      </c>
      <c r="D24" s="2">
        <v>0</v>
      </c>
      <c r="E24" s="5">
        <v>0</v>
      </c>
      <c r="F24" s="2">
        <v>0</v>
      </c>
      <c r="G24" s="2">
        <v>0</v>
      </c>
    </row>
    <row r="25" spans="1:7" ht="12.75">
      <c r="A25" t="s">
        <v>27</v>
      </c>
      <c r="B25" s="2">
        <f>429000+25300+13700</f>
        <v>468000</v>
      </c>
      <c r="C25" s="5">
        <f>346167+20000+4367+80000</f>
        <v>450534</v>
      </c>
      <c r="D25" s="2">
        <f>69800</f>
        <v>69800</v>
      </c>
      <c r="E25" s="5">
        <f>519718+200000+637000+160000+370000</f>
        <v>1886718</v>
      </c>
      <c r="F25" s="2">
        <v>0</v>
      </c>
      <c r="G25" s="2">
        <v>0</v>
      </c>
    </row>
    <row r="26" spans="1:7" ht="12.75">
      <c r="A26" t="s">
        <v>28</v>
      </c>
      <c r="B26" s="2">
        <v>0</v>
      </c>
      <c r="C26" s="5">
        <f>182022+64976+3824</f>
        <v>250822</v>
      </c>
      <c r="D26" s="2">
        <v>0</v>
      </c>
      <c r="E26" s="5">
        <v>0</v>
      </c>
      <c r="F26" s="2">
        <v>0</v>
      </c>
      <c r="G26" s="2">
        <v>0</v>
      </c>
    </row>
    <row r="27" spans="1:7" ht="12.75">
      <c r="A27" t="s">
        <v>29</v>
      </c>
      <c r="B27" s="2">
        <f>228300</f>
        <v>228300</v>
      </c>
      <c r="C27" s="5">
        <f>174507+2291+20000+15000</f>
        <v>211798</v>
      </c>
      <c r="D27" s="2">
        <f>69800</f>
        <v>69800</v>
      </c>
      <c r="E27" s="5">
        <f>50390+10000+25000+15000+15000</f>
        <v>115390</v>
      </c>
      <c r="F27" s="2">
        <v>0</v>
      </c>
      <c r="G27" s="2">
        <v>0</v>
      </c>
    </row>
    <row r="28" spans="1:7" ht="12.75">
      <c r="A28" t="s">
        <v>30</v>
      </c>
      <c r="B28" s="2">
        <f>761529+41000+20000</f>
        <v>822529</v>
      </c>
      <c r="C28" s="5">
        <f>277102+37500+25000+7500+4000+5000+25000+20000+1145</f>
        <v>402247</v>
      </c>
      <c r="D28" s="2">
        <f>10000+69800</f>
        <v>79800</v>
      </c>
      <c r="E28" s="5">
        <f>766617+250000+150000+167500+167500</f>
        <v>1501617</v>
      </c>
      <c r="F28" s="2">
        <v>0</v>
      </c>
      <c r="G28" s="2">
        <f>576+25000</f>
        <v>25576</v>
      </c>
    </row>
    <row r="29" spans="1:7" ht="12.75">
      <c r="A29" t="s">
        <v>31</v>
      </c>
      <c r="B29" s="2">
        <v>20000</v>
      </c>
      <c r="C29" s="5">
        <f>12467</f>
        <v>12467</v>
      </c>
      <c r="D29" s="2">
        <v>0</v>
      </c>
      <c r="E29" s="5">
        <v>0</v>
      </c>
      <c r="F29" s="2">
        <v>0</v>
      </c>
      <c r="G29" s="2">
        <v>0</v>
      </c>
    </row>
    <row r="30" spans="1:7" ht="12.75">
      <c r="A30" t="s">
        <v>32</v>
      </c>
      <c r="B30" s="2">
        <f>1075600+484500+12374</f>
        <v>1572474</v>
      </c>
      <c r="C30" s="5">
        <f>301392+50000+12000+12000+80000+20000+308000+500000+23000+1077</f>
        <v>1307469</v>
      </c>
      <c r="D30" s="2">
        <v>0</v>
      </c>
      <c r="E30" s="5">
        <f>1754166+445000+400000+50000+500000+50000+400000</f>
        <v>3599166</v>
      </c>
      <c r="F30" s="2">
        <v>0</v>
      </c>
      <c r="G30" s="2">
        <v>0</v>
      </c>
    </row>
    <row r="31" spans="1:7" ht="12.75">
      <c r="A31" t="s">
        <v>33</v>
      </c>
      <c r="B31" s="2">
        <f>555900+29000+62000+20000</f>
        <v>666900</v>
      </c>
      <c r="C31" s="5">
        <f>129228+20000+10000+10000</f>
        <v>169228</v>
      </c>
      <c r="D31" s="2">
        <v>0</v>
      </c>
      <c r="E31" s="5">
        <f>2545949+121202+150000+185500+164500+6000</f>
        <v>3173151</v>
      </c>
      <c r="F31" s="2">
        <v>0</v>
      </c>
      <c r="G31" s="2">
        <v>0</v>
      </c>
    </row>
    <row r="32" spans="1:7" ht="12.75">
      <c r="A32" t="s">
        <v>34</v>
      </c>
      <c r="B32" s="2">
        <f>103500</f>
        <v>103500</v>
      </c>
      <c r="C32" s="5">
        <f>44120+20000+250000+206000+25000</f>
        <v>545120</v>
      </c>
      <c r="D32" s="2">
        <v>0</v>
      </c>
      <c r="E32" s="5">
        <f>2814273+6500+158145+200000</f>
        <v>3178918</v>
      </c>
      <c r="F32" s="2">
        <v>0</v>
      </c>
      <c r="G32" s="2">
        <v>0</v>
      </c>
    </row>
    <row r="33" spans="1:7" ht="12.75">
      <c r="A33" t="s">
        <v>35</v>
      </c>
      <c r="B33" s="2">
        <f>940620+246360</f>
        <v>1186980</v>
      </c>
      <c r="C33" s="5">
        <f>187925+18000+4000+75000+75000</f>
        <v>359925</v>
      </c>
      <c r="D33" s="2">
        <v>0</v>
      </c>
      <c r="E33" s="5">
        <f>100000+100000</f>
        <v>200000</v>
      </c>
      <c r="F33" s="2">
        <v>0</v>
      </c>
      <c r="G33" s="2">
        <f>60000</f>
        <v>60000</v>
      </c>
    </row>
    <row r="34" spans="1:7" ht="12.75">
      <c r="A34" t="s">
        <v>36</v>
      </c>
      <c r="B34" s="2">
        <f>5100+17100+38000</f>
        <v>60200</v>
      </c>
      <c r="C34" s="5">
        <f>68445+20000</f>
        <v>88445</v>
      </c>
      <c r="D34" s="2">
        <v>0</v>
      </c>
      <c r="E34" s="5">
        <v>0</v>
      </c>
      <c r="F34" s="2">
        <v>0</v>
      </c>
      <c r="G34" s="2">
        <f>489+7500+25000+7500+27500</f>
        <v>67989</v>
      </c>
    </row>
    <row r="35" spans="1:7" ht="12.75">
      <c r="A35" t="s">
        <v>37</v>
      </c>
      <c r="B35" s="2">
        <f>183200+79600+108500</f>
        <v>371300</v>
      </c>
      <c r="C35" s="5">
        <f>2016120+250000+500000+500000+70000+250000+100000+1195+100000</f>
        <v>3787315</v>
      </c>
      <c r="D35" s="2">
        <v>0</v>
      </c>
      <c r="E35" s="5">
        <f>1000000+375000</f>
        <v>1375000</v>
      </c>
      <c r="F35" s="2">
        <v>0</v>
      </c>
      <c r="G35" s="2">
        <v>0</v>
      </c>
    </row>
    <row r="36" spans="1:7" ht="12.75">
      <c r="A36" t="s">
        <v>38</v>
      </c>
      <c r="B36" s="2">
        <f>821638+88900+31500+4502</f>
        <v>946540</v>
      </c>
      <c r="C36" s="5">
        <f>117265+40000+25000+1329</f>
        <v>183594</v>
      </c>
      <c r="D36" s="2">
        <v>0</v>
      </c>
      <c r="E36" s="5">
        <v>0</v>
      </c>
      <c r="F36" s="2">
        <v>0</v>
      </c>
      <c r="G36" s="2">
        <f>182600+25000+25000+20000+56000</f>
        <v>308600</v>
      </c>
    </row>
    <row r="37" spans="1:7" ht="12.75">
      <c r="A37" t="s">
        <v>39</v>
      </c>
      <c r="B37" s="2">
        <f>17300+28700+15700</f>
        <v>61700</v>
      </c>
      <c r="C37" s="5">
        <f>633568+140000</f>
        <v>773568</v>
      </c>
      <c r="D37" s="2">
        <v>0</v>
      </c>
      <c r="E37" s="5">
        <v>0</v>
      </c>
      <c r="F37" s="2">
        <v>0</v>
      </c>
      <c r="G37" s="2">
        <f>130000+50000+47000</f>
        <v>227000</v>
      </c>
    </row>
    <row r="38" spans="1:7" ht="12.75">
      <c r="A38" t="s">
        <v>40</v>
      </c>
      <c r="B38" s="2">
        <f>2000</f>
        <v>2000</v>
      </c>
      <c r="C38" s="5">
        <f>195904+20000+10000+20000+15000+1997</f>
        <v>262901</v>
      </c>
      <c r="D38" s="2">
        <v>0</v>
      </c>
      <c r="E38" s="5">
        <v>0</v>
      </c>
      <c r="F38" s="2">
        <v>0</v>
      </c>
      <c r="G38" s="2">
        <f>69000+86400+25000+313904+25000+35000+216477+19000</f>
        <v>789781</v>
      </c>
    </row>
    <row r="39" spans="1:7" ht="12.75">
      <c r="A39" t="s">
        <v>41</v>
      </c>
      <c r="B39" s="2">
        <f>63100</f>
        <v>63100</v>
      </c>
      <c r="C39" s="5">
        <f>78172</f>
        <v>78172</v>
      </c>
      <c r="D39" s="2">
        <v>0</v>
      </c>
      <c r="E39" s="5">
        <v>13809</v>
      </c>
      <c r="F39" s="2">
        <v>0</v>
      </c>
      <c r="G39" s="2">
        <v>0</v>
      </c>
    </row>
    <row r="40" spans="1:7" ht="12.75">
      <c r="A40" t="s">
        <v>42</v>
      </c>
      <c r="B40" s="2">
        <f>2449250+502800</f>
        <v>2952050</v>
      </c>
      <c r="C40" s="5">
        <f>532573+75000+160000+20000+300000+75000+21141+90000</f>
        <v>1273714</v>
      </c>
      <c r="D40" s="2">
        <v>0</v>
      </c>
      <c r="E40" s="5">
        <f>1221479+200000+12876+437500+43492+12162+400000+15378+250000</f>
        <v>2592887</v>
      </c>
      <c r="F40" s="2">
        <f>53000</f>
        <v>53000</v>
      </c>
      <c r="G40" s="2">
        <f>569+90000+75000+50000+125000+144000</f>
        <v>484569</v>
      </c>
    </row>
    <row r="41" spans="1:7" ht="12.75">
      <c r="A41" t="s">
        <v>43</v>
      </c>
      <c r="B41" s="2">
        <v>0</v>
      </c>
      <c r="C41" s="5">
        <f>136120</f>
        <v>136120</v>
      </c>
      <c r="D41" s="2">
        <v>0</v>
      </c>
      <c r="E41" s="5">
        <v>0</v>
      </c>
      <c r="F41" s="2">
        <v>0</v>
      </c>
      <c r="G41" s="2">
        <v>0</v>
      </c>
    </row>
    <row r="42" spans="1:7" ht="12.75">
      <c r="A42" t="s">
        <v>44</v>
      </c>
      <c r="B42" s="2">
        <v>0</v>
      </c>
      <c r="C42" s="5">
        <f>121845+35000+10000+30000+15000+1752</f>
        <v>213597</v>
      </c>
      <c r="D42" s="2">
        <v>0</v>
      </c>
      <c r="E42" s="5">
        <v>0</v>
      </c>
      <c r="F42" s="2">
        <v>1000</v>
      </c>
      <c r="G42" s="2">
        <v>0</v>
      </c>
    </row>
    <row r="43" spans="1:7" ht="12.75">
      <c r="A43" t="s">
        <v>45</v>
      </c>
      <c r="B43" s="2">
        <f>1607800+601900+19100+28400+9694</f>
        <v>2266894</v>
      </c>
      <c r="C43" s="5">
        <f>432641+10000+10000+1300000+40000+150000+40000+4623+65000</f>
        <v>2052264</v>
      </c>
      <c r="D43" s="2">
        <v>0</v>
      </c>
      <c r="E43" s="5">
        <f>518744+350000+325000</f>
        <v>1193744</v>
      </c>
      <c r="F43" s="2">
        <f>30000+30000</f>
        <v>60000</v>
      </c>
      <c r="G43" s="2">
        <f>100000+100000+154000+10000+78500</f>
        <v>442500</v>
      </c>
    </row>
    <row r="44" spans="1:7" ht="12.75">
      <c r="A44" t="s">
        <v>46</v>
      </c>
      <c r="B44" s="2">
        <f>305800+64800</f>
        <v>370600</v>
      </c>
      <c r="C44" s="5">
        <f>55885+25000+200000</f>
        <v>280885</v>
      </c>
      <c r="D44" s="2">
        <v>0</v>
      </c>
      <c r="E44" s="5">
        <f>1119599+162500+3165+162500</f>
        <v>1447764</v>
      </c>
      <c r="F44" s="2">
        <v>0</v>
      </c>
      <c r="G44" s="2">
        <v>0</v>
      </c>
    </row>
    <row r="45" spans="1:7" ht="12.75">
      <c r="A45" t="s">
        <v>47</v>
      </c>
      <c r="B45" s="2">
        <v>1975</v>
      </c>
      <c r="C45" s="5">
        <f>85600</f>
        <v>85600</v>
      </c>
      <c r="D45" s="2">
        <v>0</v>
      </c>
      <c r="E45" s="5">
        <v>0</v>
      </c>
      <c r="F45" s="2">
        <v>0</v>
      </c>
      <c r="G45" s="2">
        <v>0</v>
      </c>
    </row>
    <row r="46" spans="1:7" ht="12.75">
      <c r="A46" t="s">
        <v>48</v>
      </c>
      <c r="B46" s="2">
        <v>0</v>
      </c>
      <c r="C46" s="5">
        <f>24885</f>
        <v>24885</v>
      </c>
      <c r="D46" s="2">
        <v>0</v>
      </c>
      <c r="E46" s="5">
        <v>0</v>
      </c>
      <c r="F46" s="2">
        <v>0</v>
      </c>
      <c r="G46" s="2">
        <v>0</v>
      </c>
    </row>
    <row r="47" spans="1:7" ht="12.75">
      <c r="A47" t="s">
        <v>49</v>
      </c>
      <c r="B47" s="2">
        <f>431400+9694+3706+12373+4501+4300+283600+31300+235400</f>
        <v>1016274</v>
      </c>
      <c r="C47" s="5">
        <f>122613+70000+50000+11000+200000</f>
        <v>453613</v>
      </c>
      <c r="D47" s="2">
        <v>0</v>
      </c>
      <c r="E47" s="5">
        <f>163250+40000+46250+575000+46250</f>
        <v>870750</v>
      </c>
      <c r="F47" s="2">
        <v>0</v>
      </c>
      <c r="G47" s="2">
        <v>0</v>
      </c>
    </row>
    <row r="48" spans="1:7" ht="12.75">
      <c r="A48" t="s">
        <v>50</v>
      </c>
      <c r="B48" s="2">
        <f>155000</f>
        <v>155000</v>
      </c>
      <c r="C48" s="5">
        <f>263547+20000+25000+4498</f>
        <v>313045</v>
      </c>
      <c r="D48" s="2">
        <v>0</v>
      </c>
      <c r="E48" s="5">
        <v>0</v>
      </c>
      <c r="F48" s="2">
        <v>0</v>
      </c>
      <c r="G48" s="2">
        <f>16000</f>
        <v>16000</v>
      </c>
    </row>
    <row r="49" spans="1:7" ht="12.75">
      <c r="A49" t="s">
        <v>51</v>
      </c>
      <c r="B49" s="2">
        <f>5000</f>
        <v>5000</v>
      </c>
      <c r="C49" s="5">
        <f>31714</f>
        <v>31714</v>
      </c>
      <c r="D49" s="2">
        <v>0</v>
      </c>
      <c r="E49" s="5">
        <v>0</v>
      </c>
      <c r="F49" s="2">
        <v>0</v>
      </c>
      <c r="G49" s="2">
        <v>0</v>
      </c>
    </row>
    <row r="50" spans="1:7" ht="12.75">
      <c r="A50" t="s">
        <v>52</v>
      </c>
      <c r="B50" s="2">
        <f>281400+70000</f>
        <v>351400</v>
      </c>
      <c r="C50" s="5">
        <f>82869+15000</f>
        <v>97869</v>
      </c>
      <c r="D50" s="2">
        <v>0</v>
      </c>
      <c r="E50" s="5">
        <f>60000+25000+12500+12500</f>
        <v>110000</v>
      </c>
      <c r="F50" s="2">
        <v>0</v>
      </c>
      <c r="G50" s="2">
        <f>25000</f>
        <v>25000</v>
      </c>
    </row>
    <row r="51" spans="1:7" ht="12.75">
      <c r="A51" t="s">
        <v>53</v>
      </c>
      <c r="B51" s="2">
        <f>725430</f>
        <v>725430</v>
      </c>
      <c r="C51" s="5">
        <f>3717557+25000+25000+250+40000+20000+4514+50000</f>
        <v>3882321</v>
      </c>
      <c r="D51" s="2">
        <v>0</v>
      </c>
      <c r="E51" s="5">
        <f>100000</f>
        <v>100000</v>
      </c>
      <c r="F51" s="2">
        <v>0</v>
      </c>
      <c r="G51" s="2">
        <f>125000</f>
        <v>125000</v>
      </c>
    </row>
    <row r="52" spans="1:7" ht="12.75">
      <c r="A52" t="s">
        <v>54</v>
      </c>
      <c r="B52" s="2">
        <f>372400+68960+26710+21115</f>
        <v>489185</v>
      </c>
      <c r="C52" s="5">
        <f>338641+55833+250000+40000+20000+336000</f>
        <v>1040474</v>
      </c>
      <c r="D52" s="2">
        <f>69800</f>
        <v>69800</v>
      </c>
      <c r="E52" s="5">
        <f>1167464+100000+190000+260000</f>
        <v>1717464</v>
      </c>
      <c r="F52" s="2">
        <v>0</v>
      </c>
      <c r="G52" s="2">
        <f>45000</f>
        <v>45000</v>
      </c>
    </row>
    <row r="53" spans="1:7" ht="12.75">
      <c r="A53" t="s">
        <v>55</v>
      </c>
      <c r="B53" s="2">
        <v>31765</v>
      </c>
      <c r="C53" s="5">
        <f>65275</f>
        <v>65275</v>
      </c>
      <c r="D53" s="2">
        <v>0</v>
      </c>
      <c r="E53" s="5">
        <f>60000+45000</f>
        <v>105000</v>
      </c>
      <c r="F53" s="2">
        <v>0</v>
      </c>
      <c r="G53" s="2">
        <v>0</v>
      </c>
    </row>
    <row r="54" spans="1:7" ht="12.75">
      <c r="A54" t="s">
        <v>56</v>
      </c>
      <c r="B54" s="2">
        <f>654300+104900</f>
        <v>759200</v>
      </c>
      <c r="C54" s="5">
        <f>162557+25000+20000+25000</f>
        <v>232557</v>
      </c>
      <c r="D54" s="2">
        <v>5000</v>
      </c>
      <c r="E54" s="5">
        <v>0</v>
      </c>
      <c r="F54" s="2">
        <v>0</v>
      </c>
      <c r="G54" s="2">
        <v>569</v>
      </c>
    </row>
    <row r="55" spans="1:7" ht="12.75">
      <c r="A55" t="s">
        <v>57</v>
      </c>
      <c r="B55" s="2">
        <f>15000</f>
        <v>15000</v>
      </c>
      <c r="C55" s="5">
        <f>25524</f>
        <v>25524</v>
      </c>
      <c r="D55" s="2">
        <v>0</v>
      </c>
      <c r="E55" s="5">
        <v>0</v>
      </c>
      <c r="F55" s="2">
        <v>0</v>
      </c>
      <c r="G55" s="2">
        <v>0</v>
      </c>
    </row>
    <row r="56" spans="2:7" ht="12.75">
      <c r="B56" s="2"/>
      <c r="C56" s="5"/>
      <c r="D56" s="2"/>
      <c r="E56" s="5"/>
      <c r="F56" s="2"/>
      <c r="G56" s="2"/>
    </row>
    <row r="57" spans="1:7" ht="12.75">
      <c r="A57" t="s">
        <v>58</v>
      </c>
      <c r="B57" s="2">
        <f aca="true" t="shared" si="0" ref="B57:G57">SUM(B6:B55)</f>
        <v>22913972</v>
      </c>
      <c r="C57" s="5">
        <f t="shared" si="0"/>
        <v>23502645</v>
      </c>
      <c r="D57" s="2">
        <f t="shared" si="0"/>
        <v>294200</v>
      </c>
      <c r="E57" s="5">
        <f t="shared" si="0"/>
        <v>24200846</v>
      </c>
      <c r="F57" s="2">
        <f t="shared" si="0"/>
        <v>464000</v>
      </c>
      <c r="G57" s="2">
        <f t="shared" si="0"/>
        <v>6129951</v>
      </c>
    </row>
    <row r="58" spans="4:6" ht="12.75">
      <c r="D58" s="12"/>
      <c r="E58" s="12"/>
      <c r="F58" s="12"/>
    </row>
    <row r="59" spans="1:6" ht="12.75">
      <c r="A59" t="s">
        <v>59</v>
      </c>
      <c r="D59" s="12"/>
      <c r="E59" s="12"/>
      <c r="F59" s="12"/>
    </row>
    <row r="60" spans="4:6" ht="12.75">
      <c r="D60" s="12"/>
      <c r="E60" s="12"/>
      <c r="F60" s="12"/>
    </row>
    <row r="62" spans="2:3" ht="12.75">
      <c r="B62" s="2"/>
      <c r="C62" s="2"/>
    </row>
  </sheetData>
  <printOptions/>
  <pageMargins left="0.5" right="0.25" top="0.5" bottom="0.5" header="0.5" footer="0.5"/>
  <pageSetup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2006-07-27T19:30:49Z</cp:lastPrinted>
  <dcterms:created xsi:type="dcterms:W3CDTF">2004-05-25T16:29:07Z</dcterms:created>
  <dcterms:modified xsi:type="dcterms:W3CDTF">2006-10-30T13:49:26Z</dcterms:modified>
  <cp:category/>
  <cp:version/>
  <cp:contentType/>
  <cp:contentStatus/>
</cp:coreProperties>
</file>