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<sst xmlns="http://schemas.openxmlformats.org/spreadsheetml/2006/main" count="13" uniqueCount="13">
  <si>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PAC Contributions to House Campaigns by Type of Campaign</t>
  </si>
  <si>
    <t>Through December 31 of the Election Year</t>
  </si>
  <si>
    <t>Total</t>
  </si>
  <si>
    <t>Incumbents</t>
  </si>
  <si>
    <t>Challengers</t>
  </si>
  <si>
    <t>Open Seats</t>
  </si>
  <si>
    <t>Contributions</t>
  </si>
  <si>
    <t>Corporate</t>
  </si>
  <si>
    <t>Labor</t>
  </si>
  <si>
    <t>Non-Connected</t>
  </si>
  <si>
    <t>Trade/Member/Health</t>
  </si>
  <si>
    <t>Cooperative</t>
  </si>
  <si>
    <t>Corp. without Stock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</si>
</sst>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tabSelected="1" workbookViewId="0" topLeftCell="A46">
      <selection activeCell="A46" sqref="A1:A16384"/>
    </sheetView>
  </sheetViews>
  <sheetFormatPr defaultColWidth="9.140625" defaultRowHeight="12.75"/>
  <cols>
    <col min="4" max="4" width="10.28125" style="0" bestFit="1" customWidth="1"/>
    <col min="5" max="6" width="11.421875" style="0" customWidth="1"/>
    <col min="7" max="7" width="11.57421875" style="0" bestFit="1" customWidth="1"/>
  </cols>
  <sheetData>
    <row r="1" spans="2:5" ht="12.75">
      <c r="B1" s="1"/>
      <c r="D1" s="2"/>
      <c r="E1" s="3" t="s">
        <v>0</v>
      </c>
    </row>
    <row r="2" spans="2:5" ht="12.75">
      <c r="B2" s="1"/>
      <c r="D2" s="2"/>
      <c r="E2" s="3" t="s">
        <v>1</v>
      </c>
    </row>
    <row r="3" spans="2:7" ht="12.75">
      <c r="B3" s="1"/>
      <c r="D3" s="3"/>
      <c r="E3" s="3"/>
      <c r="F3" s="3"/>
      <c r="G3" s="4" t="s">
        <v>2</v>
      </c>
    </row>
    <row r="4" spans="2:7" ht="12.75">
      <c r="B4" s="1"/>
      <c r="D4" s="5" t="s">
        <v>3</v>
      </c>
      <c r="E4" s="5" t="s">
        <v>4</v>
      </c>
      <c r="F4" s="5" t="s">
        <v>5</v>
      </c>
      <c r="G4" s="6" t="s">
        <v>6</v>
      </c>
    </row>
    <row r="5" spans="2:7" ht="12.75">
      <c r="B5" s="1" t="s">
        <v>7</v>
      </c>
      <c r="D5" s="2"/>
      <c r="E5" s="2"/>
      <c r="F5" s="2"/>
      <c r="G5" s="7"/>
    </row>
    <row r="6" spans="2:7" ht="12.75">
      <c r="B6" s="1"/>
      <c r="C6">
        <v>2004</v>
      </c>
      <c r="D6" s="2">
        <f>(23494362+49092764+750)/G6</f>
        <v>0.9179141931112261</v>
      </c>
      <c r="E6" s="2">
        <f>(346878+1549800+5000)/G6</f>
        <v>0.024047779369207198</v>
      </c>
      <c r="F6" s="2">
        <f>(968610+3620988)/G6</f>
        <v>0.05803802751956672</v>
      </c>
      <c r="G6" s="7">
        <v>79079152</v>
      </c>
    </row>
    <row r="7" spans="2:7" ht="12.75">
      <c r="B7" s="1"/>
      <c r="C7">
        <v>2002</v>
      </c>
      <c r="D7" s="2">
        <f>(21697488+38002615+600)/G7</f>
        <v>0.8755739066384924</v>
      </c>
      <c r="E7" s="2">
        <f>(495497+1104990)/G7</f>
        <v>0.02347283339551497</v>
      </c>
      <c r="F7" s="2">
        <f>(1380690+5498273+4500)/G7</f>
        <v>0.10095325996599264</v>
      </c>
      <c r="G7" s="7">
        <v>68184653</v>
      </c>
    </row>
    <row r="8" spans="2:7" ht="12.75">
      <c r="B8" s="1"/>
      <c r="C8">
        <v>2000</v>
      </c>
      <c r="D8" s="2">
        <f>55422159/G8</f>
        <v>0.8788707360116133</v>
      </c>
      <c r="E8" s="2">
        <f>2367352/G8</f>
        <v>0.03754087592723633</v>
      </c>
      <c r="F8" s="2">
        <f>5271138/G8</f>
        <v>0.08358838806115046</v>
      </c>
      <c r="G8" s="7">
        <v>63060649</v>
      </c>
    </row>
    <row r="9" spans="2:7" ht="12.75">
      <c r="B9" s="1"/>
      <c r="C9">
        <v>1998</v>
      </c>
      <c r="D9" s="2">
        <f>(15344460+30057640+285)/G9</f>
        <v>0.8778292870654725</v>
      </c>
      <c r="E9" s="2">
        <f>(367129+1825847+8890)/G9</f>
        <v>0.04257182659002833</v>
      </c>
      <c r="F9" s="2">
        <f>(962264+3246211+6250)/G9</f>
        <v>0.08148931035070126</v>
      </c>
      <c r="G9" s="7">
        <v>51721201</v>
      </c>
    </row>
    <row r="10" spans="2:7" ht="12.75">
      <c r="B10" s="1"/>
      <c r="C10">
        <v>1996</v>
      </c>
      <c r="D10" s="2">
        <f>45841418/G10</f>
        <v>0.8623315093692411</v>
      </c>
      <c r="E10" s="2">
        <f>1987503/G10</f>
        <v>0.03738729159438076</v>
      </c>
      <c r="F10" s="2">
        <f>5330934/G10</f>
        <v>0.10028119903637811</v>
      </c>
      <c r="G10" s="7">
        <v>53159855</v>
      </c>
    </row>
    <row r="11" spans="2:7" ht="12.75">
      <c r="B11" s="1"/>
      <c r="C11">
        <v>1994</v>
      </c>
      <c r="D11" s="2">
        <v>0.8374</v>
      </c>
      <c r="E11" s="2">
        <v>0.0677</v>
      </c>
      <c r="F11" s="2">
        <v>0.0949</v>
      </c>
      <c r="G11" s="7">
        <v>45288427</v>
      </c>
    </row>
    <row r="12" spans="2:7" ht="12.75">
      <c r="B12" s="1"/>
      <c r="C12">
        <v>1992</v>
      </c>
      <c r="D12" s="2">
        <v>0.8238</v>
      </c>
      <c r="E12" s="2">
        <v>0.0642</v>
      </c>
      <c r="F12" s="2">
        <v>0.112</v>
      </c>
      <c r="G12" s="7">
        <v>44843989</v>
      </c>
    </row>
    <row r="13" spans="2:7" ht="12.75">
      <c r="B13" s="1"/>
      <c r="C13">
        <v>1990</v>
      </c>
      <c r="D13" s="2">
        <v>0.8686</v>
      </c>
      <c r="E13" s="2">
        <v>0.0415</v>
      </c>
      <c r="F13" s="2">
        <v>0.0898</v>
      </c>
      <c r="G13" s="7">
        <v>36153942</v>
      </c>
    </row>
    <row r="14" spans="2:7" ht="12.75">
      <c r="B14" s="1"/>
      <c r="C14">
        <v>1988</v>
      </c>
      <c r="D14" s="2">
        <v>0.9023</v>
      </c>
      <c r="E14" s="2">
        <v>0.0394</v>
      </c>
      <c r="F14" s="2">
        <v>0.0582</v>
      </c>
      <c r="G14" s="7">
        <v>32404982</v>
      </c>
    </row>
    <row r="15" spans="2:7" ht="12.75">
      <c r="B15" s="8"/>
      <c r="C15" s="9">
        <v>1986</v>
      </c>
      <c r="D15" s="10">
        <v>0.8526</v>
      </c>
      <c r="E15" s="10">
        <v>0.0401</v>
      </c>
      <c r="F15" s="10">
        <v>0.1072</v>
      </c>
      <c r="G15" s="11">
        <v>27829833</v>
      </c>
    </row>
    <row r="16" spans="2:7" ht="12.75">
      <c r="B16" s="1" t="s">
        <v>8</v>
      </c>
      <c r="D16" s="2"/>
      <c r="E16" s="2"/>
      <c r="F16" s="2"/>
      <c r="G16" s="7"/>
    </row>
    <row r="17" spans="2:7" ht="12.75">
      <c r="B17" s="1"/>
      <c r="C17">
        <v>2004</v>
      </c>
      <c r="D17" s="2">
        <f>(27958432+4946482+94600)/G17</f>
        <v>0.7712468850223402</v>
      </c>
      <c r="E17" s="2">
        <f>(5120537+105975+3500)/G17</f>
        <v>0.12223302632970472</v>
      </c>
      <c r="F17" s="2">
        <f>(4248849+308850)/G17</f>
        <v>0.10652008864795509</v>
      </c>
      <c r="G17" s="7">
        <v>42787225</v>
      </c>
    </row>
    <row r="18" spans="2:7" ht="12.75">
      <c r="B18" s="1"/>
      <c r="C18">
        <v>2002</v>
      </c>
      <c r="D18" s="2">
        <f>(27482864+3909920+70000)/G18</f>
        <v>0.709144574819684</v>
      </c>
      <c r="E18" s="2">
        <f>(5057971+93250)/G18</f>
        <v>0.11610417011562699</v>
      </c>
      <c r="F18" s="2">
        <f>(7394075+341155+13000)/G18</f>
        <v>0.17463855928817743</v>
      </c>
      <c r="G18" s="7">
        <v>44367235</v>
      </c>
    </row>
    <row r="19" spans="2:7" ht="12.75">
      <c r="B19" s="1"/>
      <c r="C19">
        <v>2000</v>
      </c>
      <c r="D19" s="2">
        <f>30655874/G19</f>
        <v>0.6963629492409611</v>
      </c>
      <c r="E19" s="2">
        <f>8113910/G19</f>
        <v>0.18431137528408834</v>
      </c>
      <c r="F19" s="2">
        <f>5253055/G19</f>
        <v>0.11932567547495063</v>
      </c>
      <c r="G19" s="7">
        <v>44022839</v>
      </c>
    </row>
    <row r="20" spans="2:7" ht="12.75">
      <c r="B20" s="1"/>
      <c r="C20">
        <v>1998</v>
      </c>
      <c r="D20" s="2">
        <f>(23588114+3055835+123275)/G20</f>
        <v>0.7067061488042398</v>
      </c>
      <c r="E20" s="2">
        <f>(5417615+25350+5750)/G20</f>
        <v>0.14385654610959633</v>
      </c>
      <c r="F20" s="2">
        <f>(5486107+179735+6250)/G20</f>
        <v>0.149754128145053</v>
      </c>
      <c r="G20" s="7">
        <v>37876031</v>
      </c>
    </row>
    <row r="21" spans="2:7" ht="12.75">
      <c r="B21" s="1"/>
      <c r="C21">
        <v>1996</v>
      </c>
      <c r="D21" s="2">
        <f>22249406/G21</f>
        <v>0.5536277983615315</v>
      </c>
      <c r="E21" s="2">
        <f>11925234/G21</f>
        <v>0.29673336197676825</v>
      </c>
      <c r="F21" s="2">
        <f>6013743/G21</f>
        <v>0.14963883966170025</v>
      </c>
      <c r="G21" s="7">
        <v>40188383</v>
      </c>
    </row>
    <row r="22" spans="2:7" ht="12.75">
      <c r="B22" s="1"/>
      <c r="C22">
        <v>1994</v>
      </c>
      <c r="D22" s="2">
        <v>0.7101</v>
      </c>
      <c r="E22" s="2">
        <v>0.1243</v>
      </c>
      <c r="F22" s="2">
        <v>0.1656</v>
      </c>
      <c r="G22" s="7">
        <v>34051054</v>
      </c>
    </row>
    <row r="23" spans="2:7" ht="12.75">
      <c r="B23" s="1"/>
      <c r="C23">
        <v>1992</v>
      </c>
      <c r="D23" s="2">
        <v>0.6589</v>
      </c>
      <c r="E23" s="2">
        <v>0.1442</v>
      </c>
      <c r="F23" s="2">
        <v>0.1969</v>
      </c>
      <c r="G23" s="7">
        <v>31671251</v>
      </c>
    </row>
    <row r="24" spans="2:7" ht="12.75">
      <c r="B24" s="1"/>
      <c r="C24">
        <v>1990</v>
      </c>
      <c r="D24" s="2">
        <v>0.7189</v>
      </c>
      <c r="E24" s="2">
        <v>0.1195</v>
      </c>
      <c r="F24" s="2">
        <v>0.1616</v>
      </c>
      <c r="G24" s="7">
        <v>27952722</v>
      </c>
    </row>
    <row r="25" spans="2:7" ht="12.75">
      <c r="B25" s="1"/>
      <c r="C25">
        <v>1988</v>
      </c>
      <c r="D25" s="2">
        <v>0.684</v>
      </c>
      <c r="E25" s="2">
        <v>0.1931</v>
      </c>
      <c r="F25" s="2">
        <v>0.1229</v>
      </c>
      <c r="G25" s="7">
        <v>27197181</v>
      </c>
    </row>
    <row r="26" spans="2:7" ht="12.75">
      <c r="B26" s="8"/>
      <c r="C26" s="9">
        <v>1986</v>
      </c>
      <c r="D26" s="10">
        <v>0.6522</v>
      </c>
      <c r="E26" s="10">
        <v>0.1913</v>
      </c>
      <c r="F26" s="10">
        <v>0.1565</v>
      </c>
      <c r="G26" s="11">
        <v>23104302</v>
      </c>
    </row>
    <row r="27" spans="2:7" ht="12.75">
      <c r="B27" s="1" t="s">
        <v>9</v>
      </c>
      <c r="D27" s="2"/>
      <c r="E27" s="2"/>
      <c r="F27" s="2"/>
      <c r="G27" s="7"/>
    </row>
    <row r="28" spans="2:7" ht="12.75">
      <c r="B28" s="1"/>
      <c r="C28">
        <v>2004</v>
      </c>
      <c r="D28" s="2">
        <f>(6910693+14718498+3000)/G28</f>
        <v>0.6138610194827074</v>
      </c>
      <c r="E28" s="2">
        <f>(2272198+3718385+10500)/G28</f>
        <v>0.17029393501473544</v>
      </c>
      <c r="F28" s="2">
        <f>(2202204+5404080)/G28</f>
        <v>0.2158450455025571</v>
      </c>
      <c r="G28" s="7">
        <v>35239558</v>
      </c>
    </row>
    <row r="29" spans="2:7" ht="12.75">
      <c r="B29" s="1"/>
      <c r="C29">
        <v>2002</v>
      </c>
      <c r="D29" s="2">
        <f>(8143780+10315770+1000)/G29</f>
        <v>0.5737444996682108</v>
      </c>
      <c r="E29" s="2">
        <f>(2545045+2239520+1200)/G29</f>
        <v>0.14873914078695571</v>
      </c>
      <c r="F29" s="2">
        <f>(3350089+5572655+6500)/G29</f>
        <v>0.2775163595448334</v>
      </c>
      <c r="G29" s="7">
        <v>32175559</v>
      </c>
    </row>
    <row r="30" spans="2:7" ht="12.75">
      <c r="B30" s="1"/>
      <c r="C30">
        <v>2000</v>
      </c>
      <c r="D30" s="2">
        <f>15311792/G30</f>
        <v>0.5590521454647739</v>
      </c>
      <c r="E30" s="2">
        <f>5843927/G30</f>
        <v>0.21336888114007294</v>
      </c>
      <c r="F30" s="2">
        <f>6233125/G30</f>
        <v>0.22757897339515315</v>
      </c>
      <c r="G30" s="7">
        <v>27388844</v>
      </c>
    </row>
    <row r="31" spans="2:7" ht="12.75">
      <c r="B31" s="1"/>
      <c r="C31">
        <v>1998</v>
      </c>
      <c r="D31" s="2">
        <f>(5024478+6637688+4000)/G31</f>
        <v>0.5769148717003297</v>
      </c>
      <c r="E31" s="2">
        <f>(1276778+2875183+16367)/G31</f>
        <v>0.20613202429357616</v>
      </c>
      <c r="F31" s="2">
        <f>(1440668+2837455+11250)/G31</f>
        <v>0.2121179378014901</v>
      </c>
      <c r="G31" s="7">
        <v>20221642</v>
      </c>
    </row>
    <row r="32" spans="2:7" ht="12.75">
      <c r="B32" s="1"/>
      <c r="C32">
        <v>1996</v>
      </c>
      <c r="D32" s="2">
        <f>9576037/G32</f>
        <v>0.611710479877224</v>
      </c>
      <c r="E32" s="2">
        <f>3571829/G32</f>
        <v>0.22816591368949232</v>
      </c>
      <c r="F32" s="2">
        <f>2506659/G32</f>
        <v>0.16012360643328366</v>
      </c>
      <c r="G32" s="7">
        <v>15654525</v>
      </c>
    </row>
    <row r="33" spans="2:7" ht="12.75">
      <c r="B33" s="1"/>
      <c r="C33">
        <v>1994</v>
      </c>
      <c r="D33" s="2">
        <v>0.6403</v>
      </c>
      <c r="E33" s="2">
        <v>0.1625</v>
      </c>
      <c r="F33" s="2">
        <v>0.1972</v>
      </c>
      <c r="G33" s="7">
        <v>11930203</v>
      </c>
    </row>
    <row r="34" spans="2:7" ht="12.75">
      <c r="B34" s="1"/>
      <c r="C34">
        <v>1992</v>
      </c>
      <c r="D34" s="2">
        <v>0.6146</v>
      </c>
      <c r="E34" s="2">
        <v>0.1574</v>
      </c>
      <c r="F34" s="2">
        <v>0.2281</v>
      </c>
      <c r="G34" s="7">
        <v>10705471</v>
      </c>
    </row>
    <row r="35" spans="2:7" ht="12.75">
      <c r="B35" s="1"/>
      <c r="C35">
        <v>1990</v>
      </c>
      <c r="D35" s="2">
        <v>0.6477</v>
      </c>
      <c r="E35" s="2">
        <v>0.1381</v>
      </c>
      <c r="F35" s="2">
        <v>0.2142</v>
      </c>
      <c r="G35" s="7">
        <v>8661029</v>
      </c>
    </row>
    <row r="36" spans="2:7" ht="12.75">
      <c r="B36" s="1"/>
      <c r="C36">
        <v>1988</v>
      </c>
      <c r="D36" s="2">
        <v>0.6379</v>
      </c>
      <c r="E36" s="2">
        <v>0.1936</v>
      </c>
      <c r="F36" s="2">
        <v>0.1685</v>
      </c>
      <c r="G36" s="7">
        <v>11532249</v>
      </c>
    </row>
    <row r="37" spans="2:7" ht="12.75">
      <c r="B37" s="8"/>
      <c r="C37" s="9">
        <v>1986</v>
      </c>
      <c r="D37" s="10">
        <v>0.5546</v>
      </c>
      <c r="E37" s="10">
        <v>0.2134</v>
      </c>
      <c r="F37" s="10">
        <v>0.232</v>
      </c>
      <c r="G37" s="11">
        <v>11298608</v>
      </c>
    </row>
    <row r="38" spans="2:7" ht="12.75">
      <c r="B38" s="1" t="s">
        <v>10</v>
      </c>
      <c r="D38" s="2"/>
      <c r="E38" s="2"/>
      <c r="F38" s="2"/>
      <c r="G38" s="7"/>
    </row>
    <row r="39" spans="2:7" ht="12.75">
      <c r="B39" s="1"/>
      <c r="C39">
        <v>2004</v>
      </c>
      <c r="D39" s="2">
        <f>(20627784+34803879+29535)/G39</f>
        <v>0.8780504509355025</v>
      </c>
      <c r="E39" s="2">
        <f>(773337+1551247+1000)/G39</f>
        <v>0.03681817475144315</v>
      </c>
      <c r="F39" s="2">
        <f>(1593016+3785224)/G39</f>
        <v>0.08514720611046586</v>
      </c>
      <c r="G39" s="7">
        <v>63164022</v>
      </c>
    </row>
    <row r="40" spans="2:7" ht="12.75">
      <c r="B40" s="1"/>
      <c r="C40">
        <v>2002</v>
      </c>
      <c r="D40" s="2">
        <f>(19528722+27541740+16125)/G40</f>
        <v>0.8229936411136671</v>
      </c>
      <c r="E40" s="2">
        <f>(973042+1141725+1724)/G40</f>
        <v>0.03699267127758286</v>
      </c>
      <c r="F40" s="2">
        <f>(2484519+5525495+700)/G40</f>
        <v>0.14001368760875</v>
      </c>
      <c r="G40" s="7">
        <v>57213792</v>
      </c>
    </row>
    <row r="41" spans="2:7" ht="12.75">
      <c r="B41" s="1"/>
      <c r="C41">
        <v>2000</v>
      </c>
      <c r="D41" s="2">
        <f>46447274/G41</f>
        <v>0.8337144023667894</v>
      </c>
      <c r="E41" s="2">
        <f>3522809/G41</f>
        <v>0.06323334713006724</v>
      </c>
      <c r="F41" s="2">
        <f>5741170/G41</f>
        <v>0.10305225050314341</v>
      </c>
      <c r="G41" s="7">
        <v>55711253</v>
      </c>
    </row>
    <row r="42" spans="2:7" ht="12.75">
      <c r="B42" s="1"/>
      <c r="C42">
        <v>1998</v>
      </c>
      <c r="D42" s="2">
        <f>(15078590+23956452+20096)/G42</f>
        <v>0.822993560169267</v>
      </c>
      <c r="E42" s="2">
        <f>(997977+2110536+24535)/G42</f>
        <v>0.06602148807414793</v>
      </c>
      <c r="F42" s="2">
        <f>(1893137+3366651+7000)/G42</f>
        <v>0.1109849517565851</v>
      </c>
      <c r="G42" s="7">
        <v>47454974</v>
      </c>
    </row>
    <row r="43" spans="2:7" ht="12.75">
      <c r="B43" s="1"/>
      <c r="C43">
        <v>1996</v>
      </c>
      <c r="D43" s="2">
        <f>35492558/G43</f>
        <v>0.7812410619939331</v>
      </c>
      <c r="E43" s="2">
        <f>3840550/G43</f>
        <v>0.08453590075533016</v>
      </c>
      <c r="F43" s="2">
        <f>6097886/G43</f>
        <v>0.1342230372507368</v>
      </c>
      <c r="G43" s="7">
        <v>45430994</v>
      </c>
    </row>
    <row r="44" spans="2:7" ht="12.75">
      <c r="B44" s="1"/>
      <c r="C44">
        <v>1994</v>
      </c>
      <c r="D44" s="2">
        <v>0.7776</v>
      </c>
      <c r="E44" s="2">
        <v>0.086</v>
      </c>
      <c r="F44" s="2">
        <v>0.1363</v>
      </c>
      <c r="G44" s="7">
        <v>39862416</v>
      </c>
    </row>
    <row r="45" spans="2:7" ht="12.75">
      <c r="B45" s="1"/>
      <c r="C45">
        <v>1992</v>
      </c>
      <c r="D45" s="2">
        <v>0.7596</v>
      </c>
      <c r="E45" s="2">
        <v>0.0764</v>
      </c>
      <c r="F45" s="2">
        <v>0.1639</v>
      </c>
      <c r="G45" s="7">
        <v>40257226</v>
      </c>
    </row>
    <row r="46" spans="2:7" ht="12.75">
      <c r="B46" s="1"/>
      <c r="C46">
        <v>1990</v>
      </c>
      <c r="D46" s="2">
        <v>0.8443</v>
      </c>
      <c r="E46" s="2">
        <v>0.0451</v>
      </c>
      <c r="F46" s="2">
        <v>0.1106</v>
      </c>
      <c r="G46" s="7">
        <v>33038105</v>
      </c>
    </row>
    <row r="47" spans="2:7" ht="12.75">
      <c r="B47" s="1"/>
      <c r="C47">
        <v>1988</v>
      </c>
      <c r="D47" s="2">
        <v>0.8596</v>
      </c>
      <c r="E47" s="2">
        <v>0.0543</v>
      </c>
      <c r="F47" s="2">
        <v>0.0861</v>
      </c>
      <c r="G47" s="7">
        <v>29070667</v>
      </c>
    </row>
    <row r="48" spans="2:7" ht="12.75">
      <c r="B48" s="8"/>
      <c r="C48" s="9">
        <v>1986</v>
      </c>
      <c r="D48" s="10">
        <v>0.8277</v>
      </c>
      <c r="E48" s="10">
        <v>0.0548</v>
      </c>
      <c r="F48" s="10">
        <v>0.1174</v>
      </c>
      <c r="G48" s="11">
        <v>24000043</v>
      </c>
    </row>
    <row r="49" spans="2:7" ht="12.75">
      <c r="B49" s="1" t="s">
        <v>11</v>
      </c>
      <c r="D49" s="2"/>
      <c r="E49" s="2"/>
      <c r="F49" s="2"/>
      <c r="G49" s="7"/>
    </row>
    <row r="50" spans="2:7" ht="12.75">
      <c r="B50" s="1"/>
      <c r="C50">
        <v>2004</v>
      </c>
      <c r="D50" s="2">
        <f>(971042+1114104)/G50</f>
        <v>0.9045539039504764</v>
      </c>
      <c r="E50" s="2">
        <f>(21500+8000)/G50</f>
        <v>0.012797348562901137</v>
      </c>
      <c r="F50" s="2">
        <f>(128969+61550)/G50</f>
        <v>0.08264874748662243</v>
      </c>
      <c r="G50" s="7">
        <v>2305165</v>
      </c>
    </row>
    <row r="51" spans="2:7" ht="12.75">
      <c r="B51" s="1"/>
      <c r="C51">
        <v>2002</v>
      </c>
      <c r="D51" s="2">
        <f>(809300+983117)/G51</f>
        <v>0.9001819029194866</v>
      </c>
      <c r="E51" s="2">
        <f>(13250+25055)/G51</f>
        <v>0.01923741394515391</v>
      </c>
      <c r="F51" s="2">
        <f>(47000+113450)/G51</f>
        <v>0.08058068313535947</v>
      </c>
      <c r="G51" s="7">
        <v>1991172</v>
      </c>
    </row>
    <row r="52" spans="2:7" ht="12.75">
      <c r="B52" s="1"/>
      <c r="C52">
        <v>2000</v>
      </c>
      <c r="D52" s="2">
        <f>1801409/G52</f>
        <v>0.9384494042642086</v>
      </c>
      <c r="E52" s="2">
        <f>48700/G52</f>
        <v>0.02537041059951791</v>
      </c>
      <c r="F52" s="2">
        <f>69450/G52</f>
        <v>0.03618018513627349</v>
      </c>
      <c r="G52" s="7">
        <v>1919559</v>
      </c>
    </row>
    <row r="53" spans="2:7" ht="12.75">
      <c r="B53" s="1"/>
      <c r="C53">
        <v>1998</v>
      </c>
      <c r="D53" s="2">
        <f>(837094+939178)/G53</f>
        <v>0.9501209400049853</v>
      </c>
      <c r="E53" s="2">
        <f>(9000+26450+1500)/G53</f>
        <v>0.01976441036799781</v>
      </c>
      <c r="F53" s="2">
        <f>(26750+29550)/G53</f>
        <v>0.03011464962701696</v>
      </c>
      <c r="G53" s="7">
        <v>1869522</v>
      </c>
    </row>
    <row r="54" spans="2:7" ht="12.75">
      <c r="B54" s="1"/>
      <c r="C54">
        <v>1996</v>
      </c>
      <c r="D54" s="2">
        <f>2026878/G54</f>
        <v>0.8719277430811574</v>
      </c>
      <c r="E54" s="2">
        <f>59450/G54</f>
        <v>0.025574358361072944</v>
      </c>
      <c r="F54" s="2">
        <f>238266/G54</f>
        <v>0.10249789855776965</v>
      </c>
      <c r="G54" s="7">
        <v>2324594</v>
      </c>
    </row>
    <row r="55" spans="2:7" ht="12.75">
      <c r="B55" s="1"/>
      <c r="C55">
        <v>1994</v>
      </c>
      <c r="D55" s="2">
        <v>0.9065</v>
      </c>
      <c r="E55" s="2">
        <v>0.0293</v>
      </c>
      <c r="F55" s="2">
        <v>0.0642</v>
      </c>
      <c r="G55" s="7">
        <v>2392773</v>
      </c>
    </row>
    <row r="56" spans="2:7" ht="12.75">
      <c r="B56" s="1"/>
      <c r="C56">
        <v>1992</v>
      </c>
      <c r="D56" s="2">
        <v>0.8836</v>
      </c>
      <c r="E56" s="2">
        <v>0.0336</v>
      </c>
      <c r="F56" s="2">
        <v>0.0827</v>
      </c>
      <c r="G56" s="7">
        <v>2211581</v>
      </c>
    </row>
    <row r="57" spans="2:7" ht="12.75">
      <c r="B57" s="1"/>
      <c r="C57">
        <v>1990</v>
      </c>
      <c r="D57" s="2">
        <v>0.8852</v>
      </c>
      <c r="E57" s="2">
        <v>0.0413</v>
      </c>
      <c r="F57" s="2">
        <v>0.0735</v>
      </c>
      <c r="G57" s="7">
        <v>2275070</v>
      </c>
    </row>
    <row r="58" spans="2:7" ht="12.75">
      <c r="B58" s="1"/>
      <c r="C58">
        <v>1988</v>
      </c>
      <c r="D58" s="2">
        <v>0.9047</v>
      </c>
      <c r="E58" s="2">
        <v>0.0306</v>
      </c>
      <c r="F58" s="2">
        <v>0.0647</v>
      </c>
      <c r="G58" s="7">
        <v>1980743</v>
      </c>
    </row>
    <row r="59" spans="2:7" ht="12.75">
      <c r="B59" s="8"/>
      <c r="C59" s="9">
        <v>1986</v>
      </c>
      <c r="D59" s="10">
        <v>0.8899</v>
      </c>
      <c r="E59" s="10">
        <v>0.0245</v>
      </c>
      <c r="F59" s="10">
        <v>0.0856</v>
      </c>
      <c r="G59" s="11">
        <v>1932010</v>
      </c>
    </row>
    <row r="60" spans="2:7" ht="12.75">
      <c r="B60" s="1" t="s">
        <v>12</v>
      </c>
      <c r="D60" s="2"/>
      <c r="E60" s="2"/>
      <c r="F60" s="2"/>
      <c r="G60" s="7"/>
    </row>
    <row r="61" spans="2:7" ht="12.75">
      <c r="B61" s="1"/>
      <c r="C61">
        <v>2004</v>
      </c>
      <c r="D61" s="2">
        <f>(923464+1584648)/G61</f>
        <v>0.8909156591327032</v>
      </c>
      <c r="E61" s="2">
        <f>(30850+93547)/G61</f>
        <v>0.04418751445275605</v>
      </c>
      <c r="F61" s="2">
        <f>(56146+126549)/G61</f>
        <v>0.0648957607735417</v>
      </c>
      <c r="G61" s="7">
        <v>2815207</v>
      </c>
    </row>
    <row r="62" spans="2:7" ht="12.75">
      <c r="B62" s="1"/>
      <c r="C62">
        <v>2002</v>
      </c>
      <c r="D62" s="2">
        <f>(1069089+1445043)/G62</f>
        <v>0.8562078793552691</v>
      </c>
      <c r="E62" s="2">
        <f>(17850+70925)/G62</f>
        <v>0.030233040464766374</v>
      </c>
      <c r="F62" s="2">
        <f>(69950+262400+1100)/G62</f>
        <v>0.1135590801799645</v>
      </c>
      <c r="G62" s="7">
        <v>2936357</v>
      </c>
    </row>
    <row r="63" spans="2:7" ht="12.75">
      <c r="B63" s="1"/>
      <c r="C63">
        <v>2000</v>
      </c>
      <c r="D63" s="2">
        <f>3032927/G63</f>
        <v>0.7990287601952385</v>
      </c>
      <c r="E63" s="2">
        <f>353266/G63</f>
        <v>0.09306841015267797</v>
      </c>
      <c r="F63" s="2">
        <f>409574/G63</f>
        <v>0.10790282965208349</v>
      </c>
      <c r="G63" s="7">
        <v>3795767</v>
      </c>
    </row>
    <row r="64" spans="2:7" ht="12.75">
      <c r="B64" s="1"/>
      <c r="C64">
        <v>1998</v>
      </c>
      <c r="D64" s="2">
        <f>(1162410+1306742)/G64</f>
        <v>0.8262236408554318</v>
      </c>
      <c r="E64" s="2">
        <f>(52672+168932+2750)/G64</f>
        <v>0.07507297190309853</v>
      </c>
      <c r="F64" s="2">
        <f>(105107+185866+4000)/G64</f>
        <v>0.09870338724146965</v>
      </c>
      <c r="G64" s="7">
        <v>2988479</v>
      </c>
    </row>
    <row r="65" spans="2:7" ht="12.75">
      <c r="B65" s="1"/>
      <c r="C65">
        <v>1996</v>
      </c>
      <c r="D65" s="2">
        <f>2471763/G65</f>
        <v>0.7958136574331196</v>
      </c>
      <c r="E65" s="2">
        <f>339676/G65</f>
        <v>0.10936275035359472</v>
      </c>
      <c r="F65" s="2">
        <f>294518/G65</f>
        <v>0.09482359221328564</v>
      </c>
      <c r="G65" s="7">
        <v>3105957</v>
      </c>
    </row>
    <row r="66" spans="2:7" ht="12.75">
      <c r="B66" s="1"/>
      <c r="C66">
        <v>1994</v>
      </c>
      <c r="D66" s="2">
        <v>0.7595</v>
      </c>
      <c r="E66" s="2">
        <v>0.1148</v>
      </c>
      <c r="F66" s="2">
        <v>0.1256</v>
      </c>
      <c r="G66" s="7">
        <v>2646405</v>
      </c>
    </row>
    <row r="67" spans="2:7" ht="12.75">
      <c r="B67" s="1"/>
      <c r="C67">
        <v>1992</v>
      </c>
      <c r="D67" s="2">
        <v>0.7837</v>
      </c>
      <c r="E67" s="2">
        <v>0.0971</v>
      </c>
      <c r="F67" s="2">
        <v>0.1192</v>
      </c>
      <c r="G67" s="7">
        <v>2592996</v>
      </c>
    </row>
    <row r="68" spans="2:7" ht="12.75">
      <c r="B68" s="1"/>
      <c r="C68">
        <v>1990</v>
      </c>
      <c r="D68" s="2">
        <v>0.8609</v>
      </c>
      <c r="E68" s="2">
        <v>0.0528</v>
      </c>
      <c r="F68" s="2">
        <v>0.0864</v>
      </c>
      <c r="G68" s="7">
        <v>2218925</v>
      </c>
    </row>
    <row r="69" spans="2:7" ht="12.75">
      <c r="B69" s="1"/>
      <c r="C69">
        <v>1988</v>
      </c>
      <c r="D69" s="2">
        <v>0.8561</v>
      </c>
      <c r="E69" s="2">
        <v>0.0648</v>
      </c>
      <c r="F69" s="2">
        <v>0.079</v>
      </c>
      <c r="G69" s="7">
        <v>1924418</v>
      </c>
    </row>
    <row r="70" spans="2:7" ht="12.75">
      <c r="B70" s="1"/>
      <c r="C70">
        <v>1986</v>
      </c>
      <c r="D70" s="2">
        <v>0.8374</v>
      </c>
      <c r="E70" s="2">
        <v>0.0554</v>
      </c>
      <c r="F70" s="2">
        <v>0.1071</v>
      </c>
      <c r="G70" s="7">
        <v>1455975</v>
      </c>
    </row>
  </sheetData>
  <printOptions/>
  <pageMargins left="0.5" right="0.5" top="0.5" bottom="0.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2005-04-11T19:09:56Z</dcterms:created>
  <dcterms:modified xsi:type="dcterms:W3CDTF">2005-04-11T19:12:14Z</dcterms:modified>
  <cp:category/>
  <cp:version/>
  <cp:contentType/>
  <cp:contentStatus/>
</cp:coreProperties>
</file>