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<sst xmlns="http://schemas.openxmlformats.org/spreadsheetml/2006/main" count="66" uniqueCount="60">
  <si>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National Party Transfers to State/Local Party Committees</t>
  </si>
  <si>
    <t>January 1, 2001 - November 25, 2002</t>
  </si>
  <si>
    <t>Fed</t>
  </si>
  <si>
    <t>eral</t>
  </si>
  <si>
    <t>Non</t>
  </si>
  <si>
    <t>Federal</t>
  </si>
  <si>
    <t>Total</t>
  </si>
  <si>
    <t>State</t>
  </si>
  <si>
    <t>RNC</t>
  </si>
  <si>
    <t>DNC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</si>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</sst>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 horizontal="center"/>
    </xf>
    <xf numFmtId="5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30">
      <selection activeCell="A30" sqref="A1:A16384"/>
    </sheetView>
  </sheetViews>
  <sheetFormatPr defaultColWidth="9.140625" defaultRowHeight="12.75"/>
  <cols>
    <col min="1" max="1" width="13.421875" style="0" bestFit="1" customWidth="1"/>
    <col min="2" max="2" width="11.421875" style="0" bestFit="1" customWidth="1"/>
    <col min="3" max="3" width="10.421875" style="0" bestFit="1" customWidth="1"/>
    <col min="4" max="7" width="11.421875" style="0" bestFit="1" customWidth="1"/>
  </cols>
  <sheetData>
    <row r="1" spans="2:7" ht="12.75">
      <c r="B1" s="1"/>
      <c r="C1" s="1"/>
      <c r="D1" s="2" t="s">
        <v>0</v>
      </c>
      <c r="E1" s="1"/>
      <c r="F1" s="1"/>
      <c r="G1" s="1"/>
    </row>
    <row r="2" spans="2:7" ht="12.75">
      <c r="B2" s="1"/>
      <c r="C2" s="1"/>
      <c r="D2" s="2" t="s">
        <v>1</v>
      </c>
      <c r="E2" s="1"/>
      <c r="F2" s="1"/>
      <c r="G2" s="1"/>
    </row>
    <row r="3" spans="2:7" ht="12.75">
      <c r="B3" s="3" t="s">
        <v>2</v>
      </c>
      <c r="C3" s="1" t="s">
        <v>3</v>
      </c>
      <c r="D3" s="3" t="s">
        <v>4</v>
      </c>
      <c r="E3" s="4" t="s">
        <v>5</v>
      </c>
      <c r="F3" s="2" t="s">
        <v>6</v>
      </c>
      <c r="G3" s="2" t="s">
        <v>6</v>
      </c>
    </row>
    <row r="4" spans="1:7" ht="12.75">
      <c r="A4" s="5" t="s">
        <v>7</v>
      </c>
      <c r="B4" s="6" t="s">
        <v>8</v>
      </c>
      <c r="C4" s="6" t="s">
        <v>9</v>
      </c>
      <c r="D4" s="6" t="s">
        <v>8</v>
      </c>
      <c r="E4" s="7" t="s">
        <v>9</v>
      </c>
      <c r="F4" s="6" t="s">
        <v>8</v>
      </c>
      <c r="G4" s="6" t="s">
        <v>9</v>
      </c>
    </row>
    <row r="5" spans="4:7" ht="12.75">
      <c r="D5" s="1"/>
      <c r="E5" s="4"/>
      <c r="F5" s="1"/>
      <c r="G5" s="1"/>
    </row>
    <row r="6" spans="1:7" ht="12.75">
      <c r="A6" t="s">
        <v>10</v>
      </c>
      <c r="B6" s="1">
        <f>6600+37500+27500+35000+16500+96845+35381+3798</f>
        <v>259124</v>
      </c>
      <c r="C6" s="1">
        <f>26802+1110+2321+2175</f>
        <v>32408</v>
      </c>
      <c r="D6" s="1">
        <f>29400+97500+97500+25000+125000+100000+50000+50000+150000+58500+70000</f>
        <v>852900</v>
      </c>
      <c r="E6" s="4">
        <f>3500+176380+200000+3890+10000+50000+50000</f>
        <v>493770</v>
      </c>
      <c r="F6" s="1">
        <f>B6+D6</f>
        <v>1112024</v>
      </c>
      <c r="G6" s="1">
        <f>C6+E6</f>
        <v>526178</v>
      </c>
    </row>
    <row r="7" spans="1:7" ht="12.75">
      <c r="A7" t="s">
        <v>11</v>
      </c>
      <c r="B7" s="1">
        <v>10000</v>
      </c>
      <c r="C7" s="1">
        <f>26134+1393+3122</f>
        <v>30649</v>
      </c>
      <c r="D7" s="1">
        <f>534000+50000</f>
        <v>584000</v>
      </c>
      <c r="E7" s="4">
        <f>23204+10000+25000</f>
        <v>58204</v>
      </c>
      <c r="F7" s="1">
        <f aca="true" t="shared" si="0" ref="F7:G22">B7+D7</f>
        <v>594000</v>
      </c>
      <c r="G7" s="1">
        <f t="shared" si="0"/>
        <v>88853</v>
      </c>
    </row>
    <row r="8" spans="1:7" ht="12.75">
      <c r="A8" t="s">
        <v>12</v>
      </c>
      <c r="B8" s="1">
        <f>72440+39000+20000+76600+75000+42500+35000+8000+17000</f>
        <v>385540</v>
      </c>
      <c r="C8" s="1">
        <f>66615+750+11516+15466</f>
        <v>94347</v>
      </c>
      <c r="D8" s="1">
        <f>170560+176000+158400+450000+78400+350000+30000</f>
        <v>1413360</v>
      </c>
      <c r="E8" s="4">
        <f>23807+30000+17500+200000+5250+43750+6250+65000+5250+15000+150000+100000+25000+50000</f>
        <v>736807</v>
      </c>
      <c r="F8" s="1">
        <f t="shared" si="0"/>
        <v>1798900</v>
      </c>
      <c r="G8" s="1">
        <f t="shared" si="0"/>
        <v>831154</v>
      </c>
    </row>
    <row r="9" spans="1:7" ht="12.75">
      <c r="A9" t="s">
        <v>13</v>
      </c>
      <c r="B9" s="1">
        <f>145300+12304+100000+39563+100000+100000+17102+100000+6600+82934+50000</f>
        <v>753803</v>
      </c>
      <c r="C9" s="1">
        <f>77550+34444+9435+3899+1665+6829+5000</f>
        <v>138822</v>
      </c>
      <c r="D9" s="1">
        <f>444555+140271+30123+50000+100000+60634+50000+23400</f>
        <v>898983</v>
      </c>
      <c r="E9" s="4">
        <f>35399+77800+5835+50000+30000+10000+33065+45000</f>
        <v>287099</v>
      </c>
      <c r="F9" s="1">
        <f t="shared" si="0"/>
        <v>1652786</v>
      </c>
      <c r="G9" s="1">
        <f t="shared" si="0"/>
        <v>425921</v>
      </c>
    </row>
    <row r="10" spans="1:7" ht="12.75">
      <c r="A10" t="s">
        <v>14</v>
      </c>
      <c r="B10" s="1">
        <f>30051+29000+556800+16250+32500+100000-32500</f>
        <v>732101</v>
      </c>
      <c r="C10" s="1">
        <f>291210+20871+6250+32879</f>
        <v>351210</v>
      </c>
      <c r="D10" s="1">
        <f>514513+252200+83200+108750+370000</f>
        <v>1328663</v>
      </c>
      <c r="E10" s="4">
        <f>343510+43750</f>
        <v>387260</v>
      </c>
      <c r="F10" s="1">
        <f t="shared" si="0"/>
        <v>2060764</v>
      </c>
      <c r="G10" s="1">
        <f t="shared" si="0"/>
        <v>738470</v>
      </c>
    </row>
    <row r="11" spans="1:7" ht="12.75">
      <c r="A11" t="s">
        <v>15</v>
      </c>
      <c r="B11" s="1">
        <f>411460+37000+20000+104000+16500+5500+6000+35000+15000+22000+56704+13986</f>
        <v>743150</v>
      </c>
      <c r="C11" s="1">
        <f>128008+1110+666+17222+7481+935+18677</f>
        <v>174099</v>
      </c>
      <c r="D11" s="1">
        <f>829522+78000+58500+25000+78000</f>
        <v>1069022</v>
      </c>
      <c r="E11" s="4">
        <f>68480+77800+77800+18000+3890+62778+2334+45000+10000+20000+10000+50000+25000+3275</f>
        <v>474357</v>
      </c>
      <c r="F11" s="1">
        <f t="shared" si="0"/>
        <v>1812172</v>
      </c>
      <c r="G11" s="1">
        <f t="shared" si="0"/>
        <v>648456</v>
      </c>
    </row>
    <row r="12" spans="1:7" ht="12.75">
      <c r="A12" t="s">
        <v>16</v>
      </c>
      <c r="B12" s="1">
        <f>373500+343500+203500</f>
        <v>920500</v>
      </c>
      <c r="C12" s="1">
        <f>72914+15000+4648+8546</f>
        <v>101108</v>
      </c>
      <c r="D12" s="1">
        <v>0</v>
      </c>
      <c r="E12" s="4">
        <v>0</v>
      </c>
      <c r="F12" s="1">
        <f t="shared" si="0"/>
        <v>920500</v>
      </c>
      <c r="G12" s="1">
        <f t="shared" si="0"/>
        <v>101108</v>
      </c>
    </row>
    <row r="13" spans="1:7" ht="12.75">
      <c r="A13" t="s">
        <v>17</v>
      </c>
      <c r="B13" s="1">
        <v>5150</v>
      </c>
      <c r="C13" s="1">
        <f>12601+989</f>
        <v>13590</v>
      </c>
      <c r="D13" s="1">
        <f>32850+37000-5000+63000+7200</f>
        <v>135050</v>
      </c>
      <c r="E13" s="4">
        <f>10261+10000</f>
        <v>20261</v>
      </c>
      <c r="F13" s="1">
        <f t="shared" si="0"/>
        <v>140200</v>
      </c>
      <c r="G13" s="1">
        <f t="shared" si="0"/>
        <v>33851</v>
      </c>
    </row>
    <row r="14" spans="1:7" ht="12.75">
      <c r="A14" t="s">
        <v>18</v>
      </c>
      <c r="B14" s="1">
        <f>-69200+76285</f>
        <v>7085</v>
      </c>
      <c r="C14" s="1">
        <f>418595+2500+12826+33181</f>
        <v>467102</v>
      </c>
      <c r="D14" s="1">
        <f>3510050+475000+250000+500000+105000+350000-167500-3350+250000+78400+25000+250000+25000+25000-78400</f>
        <v>5594200</v>
      </c>
      <c r="E14" s="4">
        <f>479744+100000+17500+25000+198677+170000+10000+690000+100000+167000+250000+15000+125000+75000+25000+62500+10000-25000</f>
        <v>2495421</v>
      </c>
      <c r="F14" s="1">
        <f t="shared" si="0"/>
        <v>5601285</v>
      </c>
      <c r="G14" s="1">
        <f t="shared" si="0"/>
        <v>2962523</v>
      </c>
    </row>
    <row r="15" spans="1:7" ht="12.75">
      <c r="A15" t="s">
        <v>19</v>
      </c>
      <c r="B15" s="1">
        <f>14300+65000+55000+55000+5500+148574</f>
        <v>343374</v>
      </c>
      <c r="C15" s="1">
        <f>62243+11667+1500+2338</f>
        <v>77748</v>
      </c>
      <c r="D15" s="1">
        <f>256700+195000+195000+150000+150000+195000+150000+75000+50000+25000+75000+25000+19500</f>
        <v>1561200</v>
      </c>
      <c r="E15" s="4">
        <f>20583+20000+20000+150000+125000</f>
        <v>335583</v>
      </c>
      <c r="F15" s="1">
        <f t="shared" si="0"/>
        <v>1904574</v>
      </c>
      <c r="G15" s="1">
        <f t="shared" si="0"/>
        <v>413331</v>
      </c>
    </row>
    <row r="16" spans="1:7" ht="12.75">
      <c r="A16" t="s">
        <v>20</v>
      </c>
      <c r="B16" s="1">
        <v>49500</v>
      </c>
      <c r="C16" s="1">
        <f>23863+286+5174</f>
        <v>29323</v>
      </c>
      <c r="D16" s="1">
        <v>0</v>
      </c>
      <c r="E16" s="4">
        <f>5562+15000+10000+1714+6857+1143</f>
        <v>40276</v>
      </c>
      <c r="F16" s="1">
        <f t="shared" si="0"/>
        <v>49500</v>
      </c>
      <c r="G16" s="1">
        <f t="shared" si="0"/>
        <v>69599</v>
      </c>
    </row>
    <row r="17" spans="1:7" ht="12.75">
      <c r="A17" t="s">
        <v>21</v>
      </c>
      <c r="B17" s="1">
        <f>3107+13200</f>
        <v>16307</v>
      </c>
      <c r="C17" s="1">
        <f>20155+2153+3367</f>
        <v>25675</v>
      </c>
      <c r="D17" s="1">
        <f>63020+65000+20000+46800+10000+35000+3000</f>
        <v>242820</v>
      </c>
      <c r="E17" s="4">
        <f>1631+3890+3500</f>
        <v>9021</v>
      </c>
      <c r="F17" s="1">
        <f t="shared" si="0"/>
        <v>259127</v>
      </c>
      <c r="G17" s="1">
        <f t="shared" si="0"/>
        <v>34696</v>
      </c>
    </row>
    <row r="18" spans="1:7" ht="12.75">
      <c r="A18" t="s">
        <v>22</v>
      </c>
      <c r="B18" s="1">
        <f>3080+106000+33000+44000+33000+57314+38136</f>
        <v>314530</v>
      </c>
      <c r="C18" s="1">
        <f>49479+6018+540+8062</f>
        <v>64099</v>
      </c>
      <c r="D18" s="1">
        <f>53920+117000+117000</f>
        <v>287920</v>
      </c>
      <c r="E18" s="4">
        <f>10000+200000+50000+2432</f>
        <v>262432</v>
      </c>
      <c r="F18" s="1">
        <f t="shared" si="0"/>
        <v>602450</v>
      </c>
      <c r="G18" s="1">
        <f t="shared" si="0"/>
        <v>326531</v>
      </c>
    </row>
    <row r="19" spans="1:7" ht="12.75">
      <c r="A19" t="s">
        <v>23</v>
      </c>
      <c r="B19" s="1">
        <f>7259+17441+150000+3500+40000+37590</f>
        <v>255790</v>
      </c>
      <c r="C19" s="1">
        <f>38556+1429+3850+1630+4718</f>
        <v>50183</v>
      </c>
      <c r="D19" s="1">
        <f>50591+45709+21500</f>
        <v>117800</v>
      </c>
      <c r="E19" s="4">
        <f>79285+4285+10000+18571+240000+240000+9770+20000</f>
        <v>621911</v>
      </c>
      <c r="F19" s="1">
        <f t="shared" si="0"/>
        <v>373590</v>
      </c>
      <c r="G19" s="1">
        <f t="shared" si="0"/>
        <v>672094</v>
      </c>
    </row>
    <row r="20" spans="1:7" ht="12.75">
      <c r="A20" t="s">
        <v>24</v>
      </c>
      <c r="B20" s="1">
        <f>140849+315000+75000+75000+50000+66000+37500+11000+17489+9900+140686+5611+11877</f>
        <v>955912</v>
      </c>
      <c r="C20" s="1">
        <f>96113+44444+570+4661-1665</f>
        <v>144123</v>
      </c>
      <c r="D20" s="1">
        <f>144830+75000+75000+50000+255000+234000+112500+39000+35100</f>
        <v>1020430</v>
      </c>
      <c r="E20" s="4">
        <f>335413+47000+5556+1997+25000+120000+36000</f>
        <v>570966</v>
      </c>
      <c r="F20" s="1">
        <f t="shared" si="0"/>
        <v>1976342</v>
      </c>
      <c r="G20" s="1">
        <f t="shared" si="0"/>
        <v>715089</v>
      </c>
    </row>
    <row r="21" spans="1:7" ht="12.75">
      <c r="A21" t="s">
        <v>25</v>
      </c>
      <c r="B21" s="1">
        <f>38750+50000+12000</f>
        <v>100750</v>
      </c>
      <c r="C21" s="1">
        <f>27136+2350+5207</f>
        <v>34693</v>
      </c>
      <c r="D21" s="1">
        <f>11250+13000+25000</f>
        <v>49250</v>
      </c>
      <c r="E21" s="4">
        <f>25986+10000+10000+10000+10000</f>
        <v>65986</v>
      </c>
      <c r="F21" s="1">
        <f t="shared" si="0"/>
        <v>150000</v>
      </c>
      <c r="G21" s="1">
        <f t="shared" si="0"/>
        <v>100679</v>
      </c>
    </row>
    <row r="22" spans="1:7" ht="12.75">
      <c r="A22" t="s">
        <v>26</v>
      </c>
      <c r="B22" s="1">
        <f>127216+80638+50000+39782+8250+77318+8250+9681</f>
        <v>401135</v>
      </c>
      <c r="C22" s="1">
        <f>31665+3323+5069-1665+2531+2400</f>
        <v>43323</v>
      </c>
      <c r="D22" s="1">
        <f>227092+123112+60467+16750+25000+16750</f>
        <v>469171</v>
      </c>
      <c r="E22" s="4">
        <f>28855+324+4676+18000+150000+25000+10000+10000+5000-3335+20000+7000+10000</f>
        <v>285520</v>
      </c>
      <c r="F22" s="1">
        <f t="shared" si="0"/>
        <v>870306</v>
      </c>
      <c r="G22" s="1">
        <f t="shared" si="0"/>
        <v>328843</v>
      </c>
    </row>
    <row r="23" spans="1:7" ht="12.75">
      <c r="A23" t="s">
        <v>27</v>
      </c>
      <c r="B23" s="1">
        <f>7000+6000+2500+5000+35000+200000</f>
        <v>255500</v>
      </c>
      <c r="C23" s="1">
        <f>31155+30000+1126+1218</f>
        <v>63499</v>
      </c>
      <c r="D23" s="1">
        <f>15500+1000+35000</f>
        <v>51500</v>
      </c>
      <c r="E23" s="4">
        <f>48700+2500+10000+50000+150000</f>
        <v>261200</v>
      </c>
      <c r="F23" s="1">
        <f aca="true" t="shared" si="1" ref="F23:G38">B23+D23</f>
        <v>307000</v>
      </c>
      <c r="G23" s="1">
        <f t="shared" si="1"/>
        <v>324699</v>
      </c>
    </row>
    <row r="24" spans="1:7" ht="12.75">
      <c r="A24" t="s">
        <v>28</v>
      </c>
      <c r="B24" s="1">
        <f>77963+50000+20850+50000+35000+14000+41777+4166</f>
        <v>293756</v>
      </c>
      <c r="C24" s="1">
        <f>83216+1573+2134+2492</f>
        <v>89415</v>
      </c>
      <c r="D24" s="1">
        <f>269823+75000+59920+175000+36000+100000+50000+50000</f>
        <v>815743</v>
      </c>
      <c r="E24" s="4">
        <f>117452+3927</f>
        <v>121379</v>
      </c>
      <c r="F24" s="1">
        <f t="shared" si="1"/>
        <v>1109499</v>
      </c>
      <c r="G24" s="1">
        <f t="shared" si="1"/>
        <v>210794</v>
      </c>
    </row>
    <row r="25" spans="1:7" ht="12.75">
      <c r="A25" t="s">
        <v>29</v>
      </c>
      <c r="B25" s="1">
        <f>51625+75000</f>
        <v>126625</v>
      </c>
      <c r="C25" s="1">
        <f>63006+3125+5084+11886</f>
        <v>83101</v>
      </c>
      <c r="D25" s="1">
        <f>16875+50000</f>
        <v>66875</v>
      </c>
      <c r="E25" s="4">
        <f>15734+4375+6000+15000+50000+25000+25000</f>
        <v>141109</v>
      </c>
      <c r="F25" s="1">
        <f t="shared" si="1"/>
        <v>193500</v>
      </c>
      <c r="G25" s="1">
        <f t="shared" si="1"/>
        <v>224210</v>
      </c>
    </row>
    <row r="26" spans="1:7" ht="12.75">
      <c r="A26" t="s">
        <v>30</v>
      </c>
      <c r="B26" s="1">
        <f>420000+350000+100000</f>
        <v>870000</v>
      </c>
      <c r="C26" s="1">
        <f>98709+150000+120000-150000+1913+25000+3451</f>
        <v>249073</v>
      </c>
      <c r="D26" s="1">
        <v>5000</v>
      </c>
      <c r="E26" s="4">
        <f>0</f>
        <v>0</v>
      </c>
      <c r="F26" s="1">
        <f t="shared" si="1"/>
        <v>875000</v>
      </c>
      <c r="G26" s="1">
        <f t="shared" si="1"/>
        <v>249073</v>
      </c>
    </row>
    <row r="27" spans="1:7" ht="12.75">
      <c r="A27" t="s">
        <v>31</v>
      </c>
      <c r="B27" s="1">
        <f>3300+103000-103000+95520+69742+20000</f>
        <v>188562</v>
      </c>
      <c r="C27" s="1">
        <f>113976+7921+15000+12821</f>
        <v>149718</v>
      </c>
      <c r="D27" s="1">
        <f>17700+300000+25000+312000+250000+285480-312000+50000</f>
        <v>928180</v>
      </c>
      <c r="E27" s="4">
        <f>15079+27230+38900+60000+125000+540000+75000+15000</f>
        <v>896209</v>
      </c>
      <c r="F27" s="1">
        <f t="shared" si="1"/>
        <v>1116742</v>
      </c>
      <c r="G27" s="1">
        <f t="shared" si="1"/>
        <v>1045927</v>
      </c>
    </row>
    <row r="28" spans="1:7" ht="12.75">
      <c r="A28" t="s">
        <v>32</v>
      </c>
      <c r="B28" s="1">
        <f>36612+200000+17211+36473+47960+33000+94933+82909+5000+98483+191378</f>
        <v>843959</v>
      </c>
      <c r="C28" s="1">
        <f>84712+2251+1862+2542</f>
        <v>91367</v>
      </c>
      <c r="D28" s="1">
        <f>225863+59443+150000+250000+300000+250000+61021+250000+129314+170040+50000+117000+336580+100000+50000+39500+134550</f>
        <v>2673311</v>
      </c>
      <c r="E28" s="4">
        <f>13486+18750+75000+75000+108000+45000+50000+40000+5586+25000+17000+17000-17000</f>
        <v>472822</v>
      </c>
      <c r="F28" s="1">
        <f t="shared" si="1"/>
        <v>3517270</v>
      </c>
      <c r="G28" s="1">
        <f t="shared" si="1"/>
        <v>564189</v>
      </c>
    </row>
    <row r="29" spans="1:7" ht="12.75">
      <c r="A29" t="s">
        <v>33</v>
      </c>
      <c r="B29" s="1">
        <f>12500+97976+215000</f>
        <v>325476</v>
      </c>
      <c r="C29" s="1">
        <f>9550+5000+5000+1643</f>
        <v>21193</v>
      </c>
      <c r="D29" s="1">
        <f>98500+25000</f>
        <v>123500</v>
      </c>
      <c r="E29" s="4">
        <f>6491-5000+5000</f>
        <v>6491</v>
      </c>
      <c r="F29" s="1">
        <f t="shared" si="1"/>
        <v>448976</v>
      </c>
      <c r="G29" s="1">
        <f t="shared" si="1"/>
        <v>27684</v>
      </c>
    </row>
    <row r="30" spans="1:7" ht="12.75">
      <c r="A30" t="s">
        <v>34</v>
      </c>
      <c r="B30" s="1">
        <f>72622+60000+17555+94234+168000+100317+35000+36250+100311+52000+36250</f>
        <v>772539</v>
      </c>
      <c r="C30" s="1">
        <f>71190+1450+2465+4797+6770</f>
        <v>86672</v>
      </c>
      <c r="D30" s="1">
        <f>211874+73145+42979+230712+100000+100000+245605+88750+88750</f>
        <v>1181815</v>
      </c>
      <c r="E30" s="4">
        <f>116747+88715+175000+37500+3550+6035+27500+70000+100000+100000</f>
        <v>725047</v>
      </c>
      <c r="F30" s="1">
        <f t="shared" si="1"/>
        <v>1954354</v>
      </c>
      <c r="G30" s="1">
        <f t="shared" si="1"/>
        <v>811719</v>
      </c>
    </row>
    <row r="31" spans="1:7" ht="12.75">
      <c r="A31" t="s">
        <v>35</v>
      </c>
      <c r="B31" s="1">
        <f>7000+12500+50000</f>
        <v>69500</v>
      </c>
      <c r="C31" s="1">
        <f>68468+1923+1666</f>
        <v>72057</v>
      </c>
      <c r="D31" s="1">
        <f>13000+12500+50000</f>
        <v>75500</v>
      </c>
      <c r="E31" s="4">
        <f>22341+17850+32500+379000+5000</f>
        <v>456691</v>
      </c>
      <c r="F31" s="1">
        <f t="shared" si="1"/>
        <v>145000</v>
      </c>
      <c r="G31" s="1">
        <f t="shared" si="1"/>
        <v>528748</v>
      </c>
    </row>
    <row r="32" spans="1:7" ht="12.75">
      <c r="A32" t="s">
        <v>36</v>
      </c>
      <c r="B32" s="1">
        <f>6750+12500</f>
        <v>19250</v>
      </c>
      <c r="C32" s="1">
        <f>14302+2307</f>
        <v>16609</v>
      </c>
      <c r="D32" s="1">
        <f>55250+20000+37500</f>
        <v>112750</v>
      </c>
      <c r="E32" s="4">
        <v>4335</v>
      </c>
      <c r="F32" s="1">
        <f t="shared" si="1"/>
        <v>132000</v>
      </c>
      <c r="G32" s="1">
        <f t="shared" si="1"/>
        <v>20944</v>
      </c>
    </row>
    <row r="33" spans="1:7" ht="12.75">
      <c r="A33" t="s">
        <v>37</v>
      </c>
      <c r="B33" s="1">
        <f>27470+50000+19500+19500+19500+25000</f>
        <v>160970</v>
      </c>
      <c r="C33" s="1">
        <f>-73105+1250+625+1563+1000+1565</f>
        <v>-67102</v>
      </c>
      <c r="D33" s="1">
        <f>495665+130500-3135+130500+25000+130500</f>
        <v>909030</v>
      </c>
      <c r="E33" s="4">
        <f>-112078+21875+8750+10938+8750+5000+4375</f>
        <v>-52390</v>
      </c>
      <c r="F33" s="1">
        <f t="shared" si="1"/>
        <v>1070000</v>
      </c>
      <c r="G33" s="1">
        <f t="shared" si="1"/>
        <v>-119492</v>
      </c>
    </row>
    <row r="34" spans="1:7" ht="12.75">
      <c r="A34" t="s">
        <v>38</v>
      </c>
      <c r="B34" s="1">
        <f>219032+37265+150000+37265+43500+11600+35000+72500+13050+7830</f>
        <v>627042</v>
      </c>
      <c r="C34" s="1">
        <f>128971+1430+4614+3938</f>
        <v>138953</v>
      </c>
      <c r="D34" s="1">
        <f>592258+91235+200000+91235+177500+31950+100000+106500+28400+19170</f>
        <v>1438248</v>
      </c>
      <c r="E34" s="4">
        <f>2031748+300000+500000+3570+700000+450000+10000+211000+30000+90000+5000+358000</f>
        <v>4689318</v>
      </c>
      <c r="F34" s="1">
        <f t="shared" si="1"/>
        <v>2065290</v>
      </c>
      <c r="G34" s="1">
        <f t="shared" si="1"/>
        <v>4828271</v>
      </c>
    </row>
    <row r="35" spans="1:7" ht="12.75">
      <c r="A35" t="s">
        <v>39</v>
      </c>
      <c r="B35" s="1">
        <f>370350+112000+72000+2900</f>
        <v>557250</v>
      </c>
      <c r="C35" s="1">
        <f>81329+5000+30000+7617+52000+15963</f>
        <v>191909</v>
      </c>
      <c r="D35" s="1">
        <f>82650+25000+7100</f>
        <v>114750</v>
      </c>
      <c r="E35" s="4">
        <f>4172505</f>
        <v>4172505</v>
      </c>
      <c r="F35" s="1">
        <f t="shared" si="1"/>
        <v>672000</v>
      </c>
      <c r="G35" s="1">
        <f t="shared" si="1"/>
        <v>4364414</v>
      </c>
    </row>
    <row r="36" spans="1:7" ht="12.75">
      <c r="A36" t="s">
        <v>40</v>
      </c>
      <c r="B36" s="1">
        <f>78036+42666+105000+32666+52826+35000+118927</f>
        <v>465121</v>
      </c>
      <c r="C36" s="1">
        <f>96888+2750+1375+20000+2948+2571</f>
        <v>126532</v>
      </c>
      <c r="D36" s="1">
        <f>530246+97996+1250+97997</f>
        <v>727489</v>
      </c>
      <c r="E36" s="4">
        <f>141725+32500+8250+4125+76000+14000+25000</f>
        <v>301600</v>
      </c>
      <c r="F36" s="1">
        <f t="shared" si="1"/>
        <v>1192610</v>
      </c>
      <c r="G36" s="1">
        <f t="shared" si="1"/>
        <v>428132</v>
      </c>
    </row>
    <row r="37" spans="1:7" ht="12.75">
      <c r="A37" t="s">
        <v>41</v>
      </c>
      <c r="B37" s="1">
        <f>1950+260000+250000+250000+150000+50000</f>
        <v>961950</v>
      </c>
      <c r="C37" s="1">
        <f>101852+8529+9041</f>
        <v>119422</v>
      </c>
      <c r="D37" s="1">
        <f>1069050+100000</f>
        <v>1169050</v>
      </c>
      <c r="E37" s="4">
        <f>535182+50000+21875+65625+50000+10000+250000</f>
        <v>982682</v>
      </c>
      <c r="F37" s="1">
        <f t="shared" si="1"/>
        <v>2131000</v>
      </c>
      <c r="G37" s="1">
        <f t="shared" si="1"/>
        <v>1102104</v>
      </c>
    </row>
    <row r="38" spans="1:7" ht="12.75">
      <c r="A38" t="s">
        <v>42</v>
      </c>
      <c r="B38" s="1">
        <f>5070+111840+76560+35000+36300+33000+44124+7500+5000+2359</f>
        <v>356753</v>
      </c>
      <c r="C38" s="1">
        <f>99208+33333+28333+11891+13293</f>
        <v>186058</v>
      </c>
      <c r="D38" s="1">
        <f>95380+200000+100000+166160+155440+25000+73700+67000</f>
        <v>882680</v>
      </c>
      <c r="E38" s="4">
        <f>100000+221276+60250+66667+66667+310000</f>
        <v>824860</v>
      </c>
      <c r="F38" s="1">
        <f t="shared" si="1"/>
        <v>1239433</v>
      </c>
      <c r="G38" s="1">
        <f t="shared" si="1"/>
        <v>1010918</v>
      </c>
    </row>
    <row r="39" spans="1:7" ht="12.75">
      <c r="A39" t="s">
        <v>43</v>
      </c>
      <c r="B39" s="1">
        <v>34272</v>
      </c>
      <c r="C39" s="1">
        <f>22139+17671+11560+21718+957+619</f>
        <v>74664</v>
      </c>
      <c r="D39" s="1">
        <f>86328+8000</f>
        <v>94328</v>
      </c>
      <c r="E39" s="4">
        <f>140076+103950+53950+56440+192790+61210+30000</f>
        <v>638416</v>
      </c>
      <c r="F39" s="1">
        <f aca="true" t="shared" si="2" ref="F39:G54">B39+D39</f>
        <v>128600</v>
      </c>
      <c r="G39" s="1">
        <f t="shared" si="2"/>
        <v>713080</v>
      </c>
    </row>
    <row r="40" spans="1:7" ht="12.75">
      <c r="A40" t="s">
        <v>44</v>
      </c>
      <c r="B40" s="1">
        <f>2730+15000</f>
        <v>17730</v>
      </c>
      <c r="C40" s="1">
        <f>58156+8181+12655</f>
        <v>78992</v>
      </c>
      <c r="D40" s="1">
        <f>25000+551469+25000+25000-25000+25000</f>
        <v>626469</v>
      </c>
      <c r="E40" s="4">
        <f>518154+17500+30000+240000+75000+60000</f>
        <v>940654</v>
      </c>
      <c r="F40" s="1">
        <f t="shared" si="2"/>
        <v>644199</v>
      </c>
      <c r="G40" s="1">
        <f t="shared" si="2"/>
        <v>1019646</v>
      </c>
    </row>
    <row r="41" spans="1:7" ht="12.75">
      <c r="A41" t="s">
        <v>45</v>
      </c>
      <c r="B41" s="1">
        <f>21300+110000+50000+6600</f>
        <v>187900</v>
      </c>
      <c r="C41" s="1">
        <f>43291+1332+2775+2165+4944</f>
        <v>54507</v>
      </c>
      <c r="D41" s="1">
        <f>141700+125000+23400+50000</f>
        <v>340100</v>
      </c>
      <c r="E41" s="4">
        <f>-40987+6250+18750+6250+18750-6250-18750-6250-18750+6250+18750+6250+18750+5000+5057+15560+15000+50000+4668+9725+10000+25000+15000+15000+15000</f>
        <v>194023</v>
      </c>
      <c r="F41" s="1">
        <f t="shared" si="2"/>
        <v>528000</v>
      </c>
      <c r="G41" s="1">
        <f t="shared" si="2"/>
        <v>248530</v>
      </c>
    </row>
    <row r="42" spans="1:7" ht="12.75">
      <c r="A42" t="s">
        <v>46</v>
      </c>
      <c r="B42" s="1">
        <f>13775+20300</f>
        <v>34075</v>
      </c>
      <c r="C42" s="1">
        <f>-54442+1250+8739+10423</f>
        <v>-34030</v>
      </c>
      <c r="D42" s="1">
        <f>141325+25000+25000+49700</f>
        <v>241025</v>
      </c>
      <c r="E42" s="4">
        <f>-460464+1050+37500+3750</f>
        <v>-418164</v>
      </c>
      <c r="F42" s="1">
        <f t="shared" si="2"/>
        <v>275100</v>
      </c>
      <c r="G42" s="1">
        <f t="shared" si="2"/>
        <v>-452194</v>
      </c>
    </row>
    <row r="43" spans="1:7" ht="12.75">
      <c r="A43" t="s">
        <v>47</v>
      </c>
      <c r="B43" s="1">
        <f>145920+26000+100000+48000+35000+24000+100000+31255+35000+6400+55204</f>
        <v>606779</v>
      </c>
      <c r="C43" s="1">
        <f>45754+8333+2088+10310+9299</f>
        <v>75784</v>
      </c>
      <c r="D43" s="1">
        <f>193080+126000+84000+126000+33600</f>
        <v>562680</v>
      </c>
      <c r="E43" s="4">
        <f>285158+100000+41667+10413+50000+100000</f>
        <v>587238</v>
      </c>
      <c r="F43" s="1">
        <f t="shared" si="2"/>
        <v>1169459</v>
      </c>
      <c r="G43" s="1">
        <f t="shared" si="2"/>
        <v>663022</v>
      </c>
    </row>
    <row r="44" spans="1:7" ht="12.75">
      <c r="A44" t="s">
        <v>48</v>
      </c>
      <c r="B44" s="1">
        <f>13495+125000+250000</f>
        <v>388495</v>
      </c>
      <c r="C44" s="1">
        <f>4069+11000+1000+500</f>
        <v>16569</v>
      </c>
      <c r="D44" s="1">
        <v>10000</v>
      </c>
      <c r="E44" s="4">
        <f>0</f>
        <v>0</v>
      </c>
      <c r="F44" s="1">
        <f t="shared" si="2"/>
        <v>398495</v>
      </c>
      <c r="G44" s="1">
        <f t="shared" si="2"/>
        <v>16569</v>
      </c>
    </row>
    <row r="45" spans="1:7" ht="12.75">
      <c r="A45" t="s">
        <v>49</v>
      </c>
      <c r="B45" s="1">
        <f>89562+46250+64875+80000+150000+50000+21000+35000+37500+37500+43276+43276+3570-43276</f>
        <v>658533</v>
      </c>
      <c r="C45" s="1">
        <f>68120+40000+3590+5383</f>
        <v>117093</v>
      </c>
      <c r="D45" s="1">
        <f>5438+84750+25000+123750+75000+194625+5000+20000+450000+150000+63000+150000</f>
        <v>1346563</v>
      </c>
      <c r="E45" s="4">
        <f>2236+167500+15000+25000+50000</f>
        <v>259736</v>
      </c>
      <c r="F45" s="1">
        <f t="shared" si="2"/>
        <v>2005096</v>
      </c>
      <c r="G45" s="1">
        <f t="shared" si="2"/>
        <v>376829</v>
      </c>
    </row>
    <row r="46" spans="1:7" ht="12.75">
      <c r="A46" t="s">
        <v>50</v>
      </c>
      <c r="B46" s="1">
        <f>367151+102960+34365+34365+34365+28865+35000+50000+37250+70000+27161-34365</f>
        <v>787117</v>
      </c>
      <c r="C46" s="1">
        <f>127397+1500+2778</f>
        <v>131675</v>
      </c>
      <c r="D46" s="1">
        <f>1421993+365040+121841+121841+35000+102340</f>
        <v>2168055</v>
      </c>
      <c r="E46" s="4">
        <f>211174+50000+50000+600000-50000</f>
        <v>861174</v>
      </c>
      <c r="F46" s="1">
        <f t="shared" si="2"/>
        <v>2955172</v>
      </c>
      <c r="G46" s="1">
        <f t="shared" si="2"/>
        <v>992849</v>
      </c>
    </row>
    <row r="47" spans="1:7" ht="12.75">
      <c r="A47" t="s">
        <v>51</v>
      </c>
      <c r="B47" s="1">
        <f>4350+150000+52500+250000+108750+90000+14500+14602+69868+5000+32228+23680</f>
        <v>815478</v>
      </c>
      <c r="C47" s="1">
        <f>96167+2143+4725+6943</f>
        <v>109978</v>
      </c>
      <c r="D47" s="1">
        <f>103938+60000+250000+52500+266250+90000+50000+100000+100000+35500+50000</f>
        <v>1158188</v>
      </c>
      <c r="E47" s="4">
        <f>451897+12000+100000+52000+15000+121000+10000</f>
        <v>761897</v>
      </c>
      <c r="F47" s="1">
        <f t="shared" si="2"/>
        <v>1973666</v>
      </c>
      <c r="G47" s="1">
        <f t="shared" si="2"/>
        <v>871875</v>
      </c>
    </row>
    <row r="48" spans="1:7" ht="12.75">
      <c r="A48" t="s">
        <v>52</v>
      </c>
      <c r="B48" s="1">
        <f>814216+250000+250000+270000+50000</f>
        <v>1634216</v>
      </c>
      <c r="C48" s="1">
        <f>222980+1110+100000+50000+75000+2705+34150</f>
        <v>485945</v>
      </c>
      <c r="D48" s="1">
        <f>1349371+120000+25000+25000</f>
        <v>1519371</v>
      </c>
      <c r="E48" s="4">
        <f>230610+3890+250000+75000+50000+50000+45000</f>
        <v>704500</v>
      </c>
      <c r="F48" s="1">
        <f t="shared" si="2"/>
        <v>3153587</v>
      </c>
      <c r="G48" s="1">
        <f t="shared" si="2"/>
        <v>1190445</v>
      </c>
    </row>
    <row r="49" spans="1:7" ht="12.75">
      <c r="A49" t="s">
        <v>53</v>
      </c>
      <c r="B49" s="1">
        <f>4500+15000+33914</f>
        <v>53414</v>
      </c>
      <c r="C49" s="1">
        <f>45081+3417+2563</f>
        <v>51061</v>
      </c>
      <c r="D49" s="1">
        <v>18000</v>
      </c>
      <c r="E49" s="4">
        <f>4400+10000+10000</f>
        <v>24400</v>
      </c>
      <c r="F49" s="1">
        <f t="shared" si="2"/>
        <v>71414</v>
      </c>
      <c r="G49" s="1">
        <f t="shared" si="2"/>
        <v>75461</v>
      </c>
    </row>
    <row r="50" spans="1:7" ht="12.75">
      <c r="A50" t="s">
        <v>54</v>
      </c>
      <c r="B50" s="1">
        <f>32600+20000+3250+21750</f>
        <v>77600</v>
      </c>
      <c r="C50" s="1">
        <f>89410+1705+4015</f>
        <v>95130</v>
      </c>
      <c r="D50" s="1">
        <v>0</v>
      </c>
      <c r="E50" s="4">
        <f>1999</f>
        <v>1999</v>
      </c>
      <c r="F50" s="1">
        <f t="shared" si="2"/>
        <v>77600</v>
      </c>
      <c r="G50" s="1">
        <f t="shared" si="2"/>
        <v>97129</v>
      </c>
    </row>
    <row r="51" spans="1:7" ht="12.75">
      <c r="A51" t="s">
        <v>55</v>
      </c>
      <c r="B51" s="1">
        <f>23760+25000+12500</f>
        <v>61260</v>
      </c>
      <c r="C51" s="1">
        <f>72141+2914+1250+3219</f>
        <v>79524</v>
      </c>
      <c r="D51" s="1">
        <f>1817682+75000+37500</f>
        <v>1930182</v>
      </c>
      <c r="E51" s="4">
        <f>221675+2500+5000+3750</f>
        <v>232925</v>
      </c>
      <c r="F51" s="1">
        <f t="shared" si="2"/>
        <v>1991442</v>
      </c>
      <c r="G51" s="1">
        <f t="shared" si="2"/>
        <v>312449</v>
      </c>
    </row>
    <row r="52" spans="1:7" ht="12.75">
      <c r="A52" t="s">
        <v>56</v>
      </c>
      <c r="B52" s="1">
        <f>9000+14000+56000</f>
        <v>79000</v>
      </c>
      <c r="C52" s="1">
        <f>78183+6080+9999</f>
        <v>94262</v>
      </c>
      <c r="D52" s="1">
        <f>77000+5000</f>
        <v>82000</v>
      </c>
      <c r="E52" s="4">
        <f>128880+30000+180000</f>
        <v>338880</v>
      </c>
      <c r="F52" s="1">
        <f t="shared" si="2"/>
        <v>161000</v>
      </c>
      <c r="G52" s="1">
        <f t="shared" si="2"/>
        <v>433142</v>
      </c>
    </row>
    <row r="53" spans="1:7" ht="12.75">
      <c r="A53" t="s">
        <v>57</v>
      </c>
      <c r="B53" s="1">
        <f>27980+1650+28000+42000+15000</f>
        <v>114630</v>
      </c>
      <c r="C53" s="1">
        <f>48213+25000+1000+663+9424+766</f>
        <v>85066</v>
      </c>
      <c r="D53" s="1">
        <f>46370+10050+3495+3350+15000+20000</f>
        <v>98265</v>
      </c>
      <c r="E53" s="4">
        <v>0</v>
      </c>
      <c r="F53" s="1">
        <f t="shared" si="2"/>
        <v>212895</v>
      </c>
      <c r="G53" s="1">
        <f t="shared" si="2"/>
        <v>85066</v>
      </c>
    </row>
    <row r="54" spans="1:7" ht="12.75">
      <c r="A54" t="s">
        <v>58</v>
      </c>
      <c r="B54" s="1">
        <f>24711+21190+33600+3900+11960+6500+2824</f>
        <v>104685</v>
      </c>
      <c r="C54" s="1">
        <f>-28832+5314+60000+2478</f>
        <v>38960</v>
      </c>
      <c r="D54" s="1">
        <f>1287326+141810+300000+73000+191400+26100+250000+150000+135000+80000+100000+80040+43500+41000+20000</f>
        <v>2919176</v>
      </c>
      <c r="E54" s="4">
        <f>-40490+100000+50000+250000+200000+225000+315000+200000+75000+50000+100000+135000+85000+15000+25000</f>
        <v>1784510</v>
      </c>
      <c r="F54" s="1">
        <f t="shared" si="2"/>
        <v>3023861</v>
      </c>
      <c r="G54" s="1">
        <f t="shared" si="2"/>
        <v>1823470</v>
      </c>
    </row>
    <row r="55" spans="1:7" ht="12.75">
      <c r="A55" t="s">
        <v>59</v>
      </c>
      <c r="B55" s="1">
        <f>33300+22920+15000</f>
        <v>71220</v>
      </c>
      <c r="C55" s="1">
        <f>12800+1324+1357</f>
        <v>15481</v>
      </c>
      <c r="D55" s="1">
        <f>11700+50000</f>
        <v>61700</v>
      </c>
      <c r="E55" s="4">
        <f>6210+10000+20000</f>
        <v>36210</v>
      </c>
      <c r="F55" s="1">
        <f aca="true" t="shared" si="3" ref="F55:G57">B55+D55</f>
        <v>132920</v>
      </c>
      <c r="G55" s="1">
        <f t="shared" si="3"/>
        <v>51691</v>
      </c>
    </row>
    <row r="56" spans="2:7" ht="12.75">
      <c r="B56" s="1"/>
      <c r="C56" s="1"/>
      <c r="D56" s="1"/>
      <c r="E56" s="4"/>
      <c r="F56" s="1"/>
      <c r="G56" s="1"/>
    </row>
    <row r="57" spans="1:7" ht="12.75">
      <c r="A57" t="s">
        <v>6</v>
      </c>
      <c r="B57" s="1">
        <f>SUM(B6:B55)</f>
        <v>18874408</v>
      </c>
      <c r="C57" s="1">
        <f>SUM(C6:C55)</f>
        <v>5061639</v>
      </c>
      <c r="D57" s="1">
        <f>SUM(D6:D55)</f>
        <v>40076292</v>
      </c>
      <c r="E57" s="4">
        <f>SUM(E6:E55)</f>
        <v>28097130</v>
      </c>
      <c r="F57" s="1">
        <f t="shared" si="3"/>
        <v>58950700</v>
      </c>
      <c r="G57" s="1">
        <f t="shared" si="3"/>
        <v>33158769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2002-12-18T14:10:48Z</dcterms:created>
  <dcterms:modified xsi:type="dcterms:W3CDTF">2002-12-18T14:11:53Z</dcterms:modified>
  <cp:category/>
  <cp:version/>
  <cp:contentType/>
  <cp:contentStatus/>
</cp:coreProperties>
</file>