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<sst xmlns="http://schemas.openxmlformats.org/spreadsheetml/2006/main" count="72" uniqueCount="60">
  <si>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>National Party Transfers to State/Local Party Committees</t>
  </si>
  <si>
    <t>January 1, 2001 - November 25, 2002</t>
  </si>
  <si>
    <t>Senatorial Campaign Committees</t>
  </si>
  <si>
    <t>Congressional Campaign Committees</t>
  </si>
  <si>
    <t>Rep</t>
  </si>
  <si>
    <t>Dem</t>
  </si>
  <si>
    <t>State</t>
  </si>
  <si>
    <t>Federal</t>
  </si>
  <si>
    <t>Non Federal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</si>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</sst>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5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5" fontId="0" fillId="0" borderId="1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 horizontal="center"/>
    </xf>
    <xf numFmtId="5" fontId="0" fillId="0" borderId="3" xfId="0" applyNumberFormat="1" applyBorder="1" applyAlignment="1">
      <alignment horizontal="center"/>
    </xf>
    <xf numFmtId="164" fontId="0" fillId="0" borderId="0" xfId="0" applyNumberFormat="1" applyAlignment="1">
      <alignment/>
    </xf>
    <xf numFmtId="5" fontId="0" fillId="0" borderId="1" xfId="0" applyNumberFormat="1" applyBorder="1" applyAlignment="1">
      <alignment/>
    </xf>
    <xf numFmtId="5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A36" sqref="A1:A16384"/>
    </sheetView>
  </sheetViews>
  <sheetFormatPr defaultColWidth="9.140625" defaultRowHeight="12.75"/>
  <cols>
    <col min="1" max="1" width="13.421875" style="0" bestFit="1" customWidth="1"/>
    <col min="2" max="3" width="11.421875" style="0" bestFit="1" customWidth="1"/>
    <col min="4" max="4" width="10.8515625" style="0" bestFit="1" customWidth="1"/>
    <col min="5" max="5" width="11.421875" style="0" bestFit="1" customWidth="1"/>
    <col min="6" max="6" width="10.421875" style="0" bestFit="1" customWidth="1"/>
    <col min="7" max="9" width="11.421875" style="0" bestFit="1" customWidth="1"/>
  </cols>
  <sheetData>
    <row r="1" spans="2:9" ht="12.75">
      <c r="B1" s="1"/>
      <c r="C1" s="1"/>
      <c r="D1" s="1"/>
      <c r="E1" s="1"/>
      <c r="F1" s="2" t="s">
        <v>0</v>
      </c>
      <c r="G1" s="1"/>
      <c r="H1" s="1"/>
      <c r="I1" s="1"/>
    </row>
    <row r="2" spans="2:9" ht="12.75">
      <c r="B2" s="1"/>
      <c r="C2" s="1"/>
      <c r="D2" s="1"/>
      <c r="E2" s="1"/>
      <c r="F2" s="3" t="s">
        <v>1</v>
      </c>
      <c r="G2" s="2"/>
      <c r="H2" s="1"/>
      <c r="I2" s="1"/>
    </row>
    <row r="3" spans="3:7" ht="12.75">
      <c r="C3" s="4" t="s">
        <v>2</v>
      </c>
      <c r="E3" s="5"/>
      <c r="G3" s="4" t="s">
        <v>3</v>
      </c>
    </row>
    <row r="4" spans="2:9" ht="12.75">
      <c r="B4" s="2" t="s">
        <v>4</v>
      </c>
      <c r="C4" s="2" t="s">
        <v>4</v>
      </c>
      <c r="D4" s="2" t="s">
        <v>5</v>
      </c>
      <c r="E4" s="6" t="s">
        <v>5</v>
      </c>
      <c r="F4" s="2" t="s">
        <v>4</v>
      </c>
      <c r="G4" s="2" t="s">
        <v>4</v>
      </c>
      <c r="H4" s="2" t="s">
        <v>5</v>
      </c>
      <c r="I4" s="7" t="s">
        <v>5</v>
      </c>
    </row>
    <row r="5" spans="1:9" ht="12.75">
      <c r="A5" s="8" t="s">
        <v>6</v>
      </c>
      <c r="B5" s="9" t="s">
        <v>7</v>
      </c>
      <c r="C5" s="9" t="s">
        <v>8</v>
      </c>
      <c r="D5" s="9" t="s">
        <v>7</v>
      </c>
      <c r="E5" s="10" t="s">
        <v>8</v>
      </c>
      <c r="F5" s="9" t="s">
        <v>7</v>
      </c>
      <c r="G5" s="9" t="s">
        <v>8</v>
      </c>
      <c r="H5" s="9" t="s">
        <v>7</v>
      </c>
      <c r="I5" s="9" t="s">
        <v>8</v>
      </c>
    </row>
    <row r="6" spans="2:9" ht="12.75">
      <c r="B6" s="1"/>
      <c r="C6" s="1"/>
      <c r="D6" s="11"/>
      <c r="E6" s="12"/>
      <c r="F6" s="1"/>
      <c r="G6" s="1"/>
      <c r="H6" s="1"/>
      <c r="I6" s="1"/>
    </row>
    <row r="7" spans="1:9" ht="12.75">
      <c r="A7" t="s">
        <v>9</v>
      </c>
      <c r="B7" s="1">
        <f>0</f>
        <v>0</v>
      </c>
      <c r="C7" s="1">
        <f>0</f>
        <v>0</v>
      </c>
      <c r="D7" s="1">
        <f>1500</f>
        <v>1500</v>
      </c>
      <c r="E7" s="13">
        <v>0</v>
      </c>
      <c r="F7" s="1">
        <f>154840+28544+6991+30250+46968+1760+33500</f>
        <v>302853</v>
      </c>
      <c r="G7" s="1">
        <f>17160+101202+24788+107252+166526+6240</f>
        <v>423168</v>
      </c>
      <c r="H7" s="1">
        <f>2109+5807+14215+36419+24848+26640+4440+35048+9222+12606+7253</f>
        <v>178607</v>
      </c>
      <c r="I7" s="1">
        <f>7391+20352+49816+127630+87079+93360+15560+122826+32320+44179+25419</f>
        <v>625932</v>
      </c>
    </row>
    <row r="8" spans="1:9" ht="12.75">
      <c r="A8" t="s">
        <v>10</v>
      </c>
      <c r="B8" s="1">
        <f>0</f>
        <v>0</v>
      </c>
      <c r="C8" s="1">
        <f>50000</f>
        <v>50000</v>
      </c>
      <c r="D8" s="1">
        <f>0</f>
        <v>0</v>
      </c>
      <c r="E8" s="13">
        <f>0</f>
        <v>0</v>
      </c>
      <c r="F8" s="1">
        <f>50000</f>
        <v>50000</v>
      </c>
      <c r="G8" s="1">
        <f>0</f>
        <v>0</v>
      </c>
      <c r="H8" s="1">
        <f>0</f>
        <v>0</v>
      </c>
      <c r="I8" s="1">
        <f>0</f>
        <v>0</v>
      </c>
    </row>
    <row r="9" spans="1:9" ht="12.75">
      <c r="A9" t="s">
        <v>11</v>
      </c>
      <c r="B9" s="1">
        <f>0</f>
        <v>0</v>
      </c>
      <c r="C9" s="1">
        <f>11000</f>
        <v>11000</v>
      </c>
      <c r="D9" s="1">
        <f>0</f>
        <v>0</v>
      </c>
      <c r="E9" s="13">
        <f>0</f>
        <v>0</v>
      </c>
      <c r="F9" s="1">
        <f>50000+25133+25682+780+9380+10621+12500+15000</f>
        <v>149096</v>
      </c>
      <c r="G9" s="1">
        <f>184311+188339+5720</f>
        <v>378370</v>
      </c>
      <c r="H9" s="1">
        <f>11000+33227+235+4319+17100+23294+3571+1520+2546+551+6250+500+1228</f>
        <v>105341</v>
      </c>
      <c r="I9" s="1">
        <f>10644+17822+3860+43750+8598+3500</f>
        <v>88174</v>
      </c>
    </row>
    <row r="10" spans="1:9" ht="12.75">
      <c r="A10" t="s">
        <v>12</v>
      </c>
      <c r="B10" s="1">
        <f>619113+62106+33000+95238+43493+81569+89337+62337+58845+28957+87755+41700+113526+14307</f>
        <v>1431283</v>
      </c>
      <c r="C10" s="1">
        <f>1256987+126094+67000+193362+108607+165610+181382+126563+119475+58792+178168+84661+230493+29048</f>
        <v>2926242</v>
      </c>
      <c r="D10" s="1">
        <f>10000+493060+36754+48138+212087+12776+25974+30000+117396+77510+41558+77754+10201+10201+20402+65223+33624+5550+5594</f>
        <v>1333802</v>
      </c>
      <c r="E10" s="13">
        <f>1751141+128805+168699+743258+44769+7126+62000+83900+286423+45642+70000+100000+55000+153454+271632+30000+52279+55315+5749+154783+19460</f>
        <v>4289435</v>
      </c>
      <c r="F10" s="1">
        <f>117314</f>
        <v>117314</v>
      </c>
      <c r="G10" s="1">
        <f>415920</f>
        <v>415920</v>
      </c>
      <c r="H10" s="1">
        <f>3330+5683+12000+15000+13799+12352+4660+33300+139+13320+2220+5060+577+123+166+610</f>
        <v>122339</v>
      </c>
      <c r="I10" s="1">
        <f>288420+19918+48360+18288+16331+116700+488+46680+7780+17734+2022+431+584+2137</f>
        <v>585873</v>
      </c>
    </row>
    <row r="11" spans="1:9" ht="12.75">
      <c r="A11" t="s">
        <v>13</v>
      </c>
      <c r="B11" s="1">
        <f>0</f>
        <v>0</v>
      </c>
      <c r="C11" s="1">
        <v>0</v>
      </c>
      <c r="D11" s="1">
        <v>0</v>
      </c>
      <c r="E11" s="13">
        <v>0</v>
      </c>
      <c r="F11" s="1">
        <f>186600+780</f>
        <v>187380</v>
      </c>
      <c r="G11" s="1">
        <f>107400+5220+35750</f>
        <v>148370</v>
      </c>
      <c r="H11" s="1">
        <f>21765</f>
        <v>21765</v>
      </c>
      <c r="I11" s="1">
        <f>38447+25355+5000</f>
        <v>68802</v>
      </c>
    </row>
    <row r="12" spans="1:9" ht="12.75">
      <c r="A12" t="s">
        <v>14</v>
      </c>
      <c r="B12" s="1">
        <f>363197+100056+116600+35420+65580+67892+65870+63668+28798+92067+38610+20887+2655+17080</f>
        <v>1078380</v>
      </c>
      <c r="C12" s="1">
        <f>1287704+354744+413400+125680+237440+240708+232830+225732+102102+326418+136890+105051+9414+60560+36000</f>
        <v>3894673</v>
      </c>
      <c r="D12" s="1">
        <f>20000+28851+376108+48445+39567+58660+20000+137982+68931+36663+64231+38743+19831+108917+70+71706+4440+34342+25000</f>
        <v>1202487</v>
      </c>
      <c r="E12" s="13">
        <f>1386161+22350+82883+169778+138681+205574+293558+190000+241569+65095+15776+190603+61294+5000+25000+120000+142000+48892+190000+15560+57829+160000+200561</f>
        <v>4028164</v>
      </c>
      <c r="F12" s="1">
        <f>105000+44707+1481+44191+43146+169649+10667+14335+61962+64456+15000+33500</f>
        <v>608094</v>
      </c>
      <c r="G12" s="1">
        <f>5252+156680+152974+158509+601485+219686+228529</f>
        <v>1523115</v>
      </c>
      <c r="H12" s="1">
        <f>187802+11100+14888+85470+28305+5494+58630+40918+15000+13231+51422+3996+11970+22120+6101+40000+9973+35000+6408+1845+15000+2307</f>
        <v>666980</v>
      </c>
      <c r="I12" s="1">
        <f>704774+38900+52176+299530+99195+19254+205469+93399+50000+46368+180212+14004+41951+77519+11743+34951+22459+6468+8086</f>
        <v>2006458</v>
      </c>
    </row>
    <row r="13" spans="1:9" ht="12.75">
      <c r="A13" t="s">
        <v>15</v>
      </c>
      <c r="B13" s="1">
        <f>0</f>
        <v>0</v>
      </c>
      <c r="C13" s="1">
        <f>0</f>
        <v>0</v>
      </c>
      <c r="D13" s="1">
        <f>0</f>
        <v>0</v>
      </c>
      <c r="E13" s="13">
        <v>0</v>
      </c>
      <c r="F13" s="1">
        <f>25000</f>
        <v>25000</v>
      </c>
      <c r="G13" s="1">
        <f>0</f>
        <v>0</v>
      </c>
      <c r="H13" s="1">
        <f>0</f>
        <v>0</v>
      </c>
      <c r="I13" s="1">
        <f>0</f>
        <v>0</v>
      </c>
    </row>
    <row r="14" spans="1:9" ht="12.75">
      <c r="A14" t="s">
        <v>16</v>
      </c>
      <c r="B14" s="1">
        <f>0</f>
        <v>0</v>
      </c>
      <c r="C14" s="1">
        <f>0</f>
        <v>0</v>
      </c>
      <c r="D14" s="1">
        <f>2285</f>
        <v>2285</v>
      </c>
      <c r="E14" s="13">
        <f>5333</f>
        <v>5333</v>
      </c>
      <c r="F14" s="1">
        <f>0</f>
        <v>0</v>
      </c>
      <c r="G14" s="1">
        <f>0</f>
        <v>0</v>
      </c>
      <c r="H14" s="1">
        <f>0</f>
        <v>0</v>
      </c>
      <c r="I14" s="1">
        <f>0</f>
        <v>0</v>
      </c>
    </row>
    <row r="15" spans="1:9" ht="12.75">
      <c r="A15" t="s">
        <v>17</v>
      </c>
      <c r="B15" s="1">
        <f>0</f>
        <v>0</v>
      </c>
      <c r="C15" s="1">
        <f>3165750+1000000+400000+600000+825000</f>
        <v>5990750</v>
      </c>
      <c r="D15" s="1">
        <f>26827</f>
        <v>26827</v>
      </c>
      <c r="E15" s="13">
        <f>53738</f>
        <v>53738</v>
      </c>
      <c r="F15" s="1">
        <f>21453+1560+23522+23894+35000</f>
        <v>105429</v>
      </c>
      <c r="G15" s="1">
        <f>10440+157417+159911+143576</f>
        <v>471344</v>
      </c>
      <c r="H15" s="1">
        <f>11375+11800+1463+21903+13783+28271+52875+27250+684+2546+20437+20437+979+1102+23500+1914+1997+5000</f>
        <v>247316</v>
      </c>
      <c r="I15" s="1">
        <f>2625+57500+10242+153324+96481+48000+17000+35000+97900+110000+260125+190750+4789+17825+33062+55000+55000+43062+6853+7715+13398</f>
        <v>1315651</v>
      </c>
    </row>
    <row r="16" spans="1:9" ht="12.75">
      <c r="A16" t="s">
        <v>18</v>
      </c>
      <c r="B16" s="1">
        <f>9218+9680+78969+103367+68748+42207+88726+92701+146567+38997+930+21970+11110</f>
        <v>713190</v>
      </c>
      <c r="C16" s="1">
        <f>206682+34320+276430+361833+314652+149643+314574+324498+513050+136504+3255+38890</f>
        <v>2674331</v>
      </c>
      <c r="D16" s="1">
        <f>124256+63283+84092+75237+247491+17421+77136+22200+150000+13808+106797+19509+35+35+36720+227700+358000+2486+984</f>
        <v>1627190</v>
      </c>
      <c r="E16" s="13">
        <f>221776+294702+735090+250000+135000+200000+128669+70389+61052+46390+251673+150000+77800</f>
        <v>2622541</v>
      </c>
      <c r="F16" s="1">
        <f>0+19560+19946+555+27031</f>
        <v>67092</v>
      </c>
      <c r="G16" s="1">
        <f>69457+69821+1944+94624</f>
        <v>235846</v>
      </c>
      <c r="H16" s="1">
        <f>10985+19178+3196+22894+11412+27818+28360+31885+4000+27362+25748+7574+7574+7229+13347+8157+27362+2963+5551+36852+9546+30000+7502+1993+441</f>
        <v>378929</v>
      </c>
      <c r="I16" s="1">
        <f>36875+67209+11201+80235+39996+40000+57491+99389+111744+95891+90237+26543+26543+5337+46777+58588+10385+95891+19455+129148+33454+26292+6985+1547</f>
        <v>1217213</v>
      </c>
    </row>
    <row r="17" spans="1:9" ht="12.75">
      <c r="A17" t="s">
        <v>19</v>
      </c>
      <c r="B17" s="1">
        <f>50000</f>
        <v>50000</v>
      </c>
      <c r="C17" s="1">
        <v>0</v>
      </c>
      <c r="D17" s="1">
        <f>0</f>
        <v>0</v>
      </c>
      <c r="E17" s="13">
        <f>2500+50000</f>
        <v>52500</v>
      </c>
      <c r="F17" s="1">
        <f>50000</f>
        <v>50000</v>
      </c>
      <c r="G17" s="1">
        <f>0</f>
        <v>0</v>
      </c>
      <c r="H17" s="1">
        <f>0</f>
        <v>0</v>
      </c>
      <c r="I17" s="1">
        <f>25000</f>
        <v>25000</v>
      </c>
    </row>
    <row r="18" spans="1:9" ht="12.75">
      <c r="A18" t="s">
        <v>20</v>
      </c>
      <c r="B18" s="1">
        <f>0</f>
        <v>0</v>
      </c>
      <c r="C18" s="1">
        <f>30000</f>
        <v>30000</v>
      </c>
      <c r="D18" s="1">
        <v>0</v>
      </c>
      <c r="E18" s="13">
        <f>0</f>
        <v>0</v>
      </c>
      <c r="F18" s="1">
        <f>0</f>
        <v>0</v>
      </c>
      <c r="G18" s="1">
        <f>20000</f>
        <v>20000</v>
      </c>
      <c r="H18" s="1">
        <f>0</f>
        <v>0</v>
      </c>
      <c r="I18" s="1">
        <f>0</f>
        <v>0</v>
      </c>
    </row>
    <row r="19" spans="1:9" ht="12.75">
      <c r="A19" t="s">
        <v>21</v>
      </c>
      <c r="B19" s="1">
        <v>0</v>
      </c>
      <c r="C19" s="1">
        <f>188750</f>
        <v>188750</v>
      </c>
      <c r="D19" s="1">
        <v>0</v>
      </c>
      <c r="E19" s="13">
        <v>0</v>
      </c>
      <c r="F19" s="1">
        <f>31019+12576+29005+37700+5000+5000+5000</f>
        <v>125300</v>
      </c>
      <c r="G19" s="1">
        <f>109977+44588+102836+200000</f>
        <v>457401</v>
      </c>
      <c r="H19" s="1">
        <f>10000+13764+33702+33702+12210+157296+5461+6660+57942+3330+3157+1161</f>
        <v>338385</v>
      </c>
      <c r="I19" s="1">
        <f>48236+10000+118112+118112+42790+100790+9138+23340+3058+11670+11066+4068</f>
        <v>500380</v>
      </c>
    </row>
    <row r="20" spans="1:9" ht="12.75">
      <c r="A20" t="s">
        <v>22</v>
      </c>
      <c r="B20" s="1">
        <f>0</f>
        <v>0</v>
      </c>
      <c r="C20" s="1">
        <f>11000+215050</f>
        <v>226050</v>
      </c>
      <c r="D20" s="1">
        <v>0</v>
      </c>
      <c r="E20" s="13">
        <f>130000</f>
        <v>130000</v>
      </c>
      <c r="F20" s="1">
        <f>8263+7192+10184+634+9874+4500+33500</f>
        <v>74147</v>
      </c>
      <c r="G20" s="1">
        <f>64758+44180+62559+3899+60659</f>
        <v>236055</v>
      </c>
      <c r="H20" s="1">
        <f>73443+4864+21896+3575+4171+13888+21164+3749+21164+1548+22165+17160+57000+3575+23500+10992+643+715+5214+1287+339+262</f>
        <v>312314</v>
      </c>
      <c r="I20" s="1">
        <f>835148+29151+131223+21425+83236+126836+22470+126836+9280+132835+102840+80000+18000+21425+65877+15000+3856+4285+31249+7713+2034+1570-5000</f>
        <v>1867289</v>
      </c>
    </row>
    <row r="21" spans="1:9" ht="12.75">
      <c r="A21" t="s">
        <v>23</v>
      </c>
      <c r="B21" s="1">
        <f>64649+88918+19837+73071+78177+92299+4324+43470+51062+3043+23000</f>
        <v>541850</v>
      </c>
      <c r="C21" s="1">
        <f>226434+297682+66412+244629+261723+309001+14476+145530+170946+10188+77000</f>
        <v>1824021</v>
      </c>
      <c r="D21" s="1">
        <f>535814+75018+30035+41551+25752+21361+79395+53200+110427+9058+32759+33163+13350+93483+35+13360+67336+43956</f>
        <v>1279053</v>
      </c>
      <c r="E21" s="13">
        <f>1948198+262894+105253+145615+90248+400000+132260+34656+54460+223778+186438+31746+114803+116218+17500+117000+163723+46821+282301+154044+46822</f>
        <v>4674778</v>
      </c>
      <c r="F21" s="1">
        <f>2096+2260+63280+63108+50000+3520+1320+1320+25125+1320</f>
        <v>213349</v>
      </c>
      <c r="G21" s="1">
        <f>7431+25740+224358+223749+12480+4680+4680+4680</f>
        <v>507798</v>
      </c>
      <c r="H21" s="1">
        <f>513611+2019+683+3458+3725+6660+6386+7553+14763+4800+31524+15000+20000+6386+19813+19813+31524+19813+31524+19813+20000+30000+30000+2664+2331+28152+825+1149+66</f>
        <v>894055</v>
      </c>
      <c r="I21" s="1">
        <f>1858952+20000+7078+2396+12118+13054+22383+26471+51737+68391+110476+69436+69436+69436+110476+69436+9336+8169+98659+2894+4029+233</f>
        <v>2704596</v>
      </c>
    </row>
    <row r="22" spans="1:9" ht="12.75">
      <c r="A22" t="s">
        <v>24</v>
      </c>
      <c r="B22" s="1">
        <f>0</f>
        <v>0</v>
      </c>
      <c r="C22" s="1">
        <v>0</v>
      </c>
      <c r="D22" s="1">
        <f>0</f>
        <v>0</v>
      </c>
      <c r="E22" s="13">
        <f>1500</f>
        <v>1500</v>
      </c>
      <c r="F22" s="1">
        <f>10000+50000</f>
        <v>60000</v>
      </c>
      <c r="G22" s="1">
        <f>15000</f>
        <v>15000</v>
      </c>
      <c r="H22" s="1">
        <f>15500+27500</f>
        <v>43000</v>
      </c>
      <c r="I22" s="1">
        <f>15000+5000+5000+5000+5000</f>
        <v>35000</v>
      </c>
    </row>
    <row r="23" spans="1:9" ht="12.75">
      <c r="A23" t="s">
        <v>25</v>
      </c>
      <c r="B23" s="1">
        <v>0</v>
      </c>
      <c r="C23" s="1">
        <f>25000+330000</f>
        <v>355000</v>
      </c>
      <c r="D23" s="1">
        <v>0</v>
      </c>
      <c r="E23" s="13">
        <f>950000+50000+25000</f>
        <v>1025000</v>
      </c>
      <c r="F23" s="1">
        <f>91383+23215+2640+200000+23452+24981+25944+30000+37700</f>
        <v>459315</v>
      </c>
      <c r="G23" s="1">
        <f>124477+47133+5360+47615+50720+52674</f>
        <v>327979</v>
      </c>
      <c r="H23" s="1">
        <f>40167+35000+2475+17982+2591+5744+25740+3307+33300+18648+19980+16650+33300+8325+3884+8953+289+3330+472</f>
        <v>280137</v>
      </c>
      <c r="I23" s="1">
        <f>80454+71000+5025+36018+5191+11505+51559+6624+66700+37352+40020+33350+20000+40000+66700+16675+7780+100+17934+579+6670+5000+946</f>
        <v>627182</v>
      </c>
    </row>
    <row r="24" spans="1:9" ht="12.75">
      <c r="A24" t="s">
        <v>26</v>
      </c>
      <c r="B24" s="1">
        <f>269025+132550+139500+146525+130400+5000+121095+266760</f>
        <v>1210855</v>
      </c>
      <c r="C24" s="1">
        <f>269025+132550+139500+146525+130400+121095+266760</f>
        <v>1205855</v>
      </c>
      <c r="D24" s="1">
        <f>176799+18602+18799+250000+38175+125000+30000+25000+300000+390250</f>
        <v>1372625</v>
      </c>
      <c r="E24" s="13">
        <f>18602+20000+176250+18799+38175+200000</f>
        <v>471826</v>
      </c>
      <c r="F24" s="1">
        <f>0</f>
        <v>0</v>
      </c>
      <c r="G24" s="1">
        <f>0</f>
        <v>0</v>
      </c>
      <c r="H24" s="1">
        <f>22000+84400+7500+2572+24600+25830+11644+5000+647+1763+12945+2000+140000</f>
        <v>340901</v>
      </c>
      <c r="I24" s="1">
        <f>30000+25000+84400+7500+2572+35000+24600+25830+11644+5000+647+1763+12945+2000+15000+60000</f>
        <v>343901</v>
      </c>
    </row>
    <row r="25" spans="1:9" ht="12.75">
      <c r="A25" t="s">
        <v>27</v>
      </c>
      <c r="B25" s="1">
        <f>108239+3190</f>
        <v>111429</v>
      </c>
      <c r="C25" s="1">
        <f>265000+7810</f>
        <v>272810</v>
      </c>
      <c r="D25" s="1">
        <f>214617+40524+42780+52200+9570+86993+14500+25000+2566</f>
        <v>488750</v>
      </c>
      <c r="E25" s="13">
        <f>419584+131583+99213+104738+67800+23430+40000+212982+35500</f>
        <v>1134830</v>
      </c>
      <c r="F25" s="1">
        <f>35224+32705+29172+50000+34623+49802+41461+45857+24000+47263+25000+33500</f>
        <v>448607</v>
      </c>
      <c r="G25" s="1">
        <f>130897+84099+89030+128062+75014+106616+117920+121535</f>
        <v>853173</v>
      </c>
      <c r="H25" s="1">
        <f>147862+6006+36685+5148+121800+2610+42903+10440+11000+5668+1652+2860</f>
        <v>394634</v>
      </c>
      <c r="I25" s="1">
        <f>359144+14994+14994+89815+12852+298200+6390+107107+25560+14150+4045+7140</f>
        <v>954391</v>
      </c>
    </row>
    <row r="26" spans="1:9" ht="12.75">
      <c r="A26" t="s">
        <v>28</v>
      </c>
      <c r="B26" s="1">
        <f>0</f>
        <v>0</v>
      </c>
      <c r="C26" s="1">
        <f>0</f>
        <v>0</v>
      </c>
      <c r="D26" s="1">
        <f>0</f>
        <v>0</v>
      </c>
      <c r="E26" s="13">
        <f>6000</f>
        <v>6000</v>
      </c>
      <c r="F26" s="1">
        <f>0</f>
        <v>0</v>
      </c>
      <c r="G26" s="1">
        <f>0</f>
        <v>0</v>
      </c>
      <c r="H26" s="1">
        <f>27625+51031+30312+37631+188562+6457+328000+12431+50000+60237+2625+3125+13390</f>
        <v>811426</v>
      </c>
      <c r="I26" s="1">
        <f>193375+357218+212187+74812+45199+60000+87018+12500+18375+21875+93735</f>
        <v>1176294</v>
      </c>
    </row>
    <row r="27" spans="1:9" ht="12.75">
      <c r="A27" t="s">
        <v>29</v>
      </c>
      <c r="B27" s="1">
        <f>0</f>
        <v>0</v>
      </c>
      <c r="C27" s="1">
        <f>0</f>
        <v>0</v>
      </c>
      <c r="D27" s="1">
        <f>0</f>
        <v>0</v>
      </c>
      <c r="E27" s="13">
        <f>0</f>
        <v>0</v>
      </c>
      <c r="F27" s="1">
        <f>78000</f>
        <v>78000</v>
      </c>
      <c r="G27" s="1">
        <f>0</f>
        <v>0</v>
      </c>
      <c r="H27" s="1">
        <f>0</f>
        <v>0</v>
      </c>
      <c r="I27" s="1">
        <f>0</f>
        <v>0</v>
      </c>
    </row>
    <row r="28" spans="1:9" ht="12.75">
      <c r="A28" t="s">
        <v>30</v>
      </c>
      <c r="B28" s="1">
        <f>0</f>
        <v>0</v>
      </c>
      <c r="C28" s="1">
        <f>11000</f>
        <v>11000</v>
      </c>
      <c r="D28" s="1">
        <f>0</f>
        <v>0</v>
      </c>
      <c r="E28" s="13">
        <f>1252100+84000+100000</f>
        <v>1436100</v>
      </c>
      <c r="F28" s="1">
        <f>0+450000+1320+2484+3256+100000+61914+21000</f>
        <v>639974</v>
      </c>
      <c r="G28" s="1">
        <f>20000+4680+8808+11544+219516</f>
        <v>264548</v>
      </c>
      <c r="H28" s="1">
        <f>1110+2220</f>
        <v>3330</v>
      </c>
      <c r="I28" s="1">
        <f>274890+25000+7780</f>
        <v>307670</v>
      </c>
    </row>
    <row r="29" spans="1:9" ht="12.75">
      <c r="A29" t="s">
        <v>31</v>
      </c>
      <c r="B29" s="1">
        <f>431331+86042+24910+117964+49818+50094+88044+106095+89650+88176+14995+38610+15774+280666+2829</f>
        <v>1484998</v>
      </c>
      <c r="C29" s="1">
        <f>1625264+305058+88318+418236+176627+177606+312158+376156+317850+312624+53167+136890+55926+995088+10029</f>
        <v>5360997</v>
      </c>
      <c r="D29" s="1">
        <f>1037096+114110+23497+129713+215567+208914+122727+28600+13027+166251+35+35+68263</f>
        <v>2127835</v>
      </c>
      <c r="E29" s="13">
        <f>32944+35000+3401670+35000+9058+50000+24948+286393+75000+56661+322316+638163+521555</f>
        <v>5488708</v>
      </c>
      <c r="F29" s="1">
        <f>10000+1980+1100+74759+2640+64426+64863+10000+64863+105785+37500</f>
        <v>437916</v>
      </c>
      <c r="G29" s="1">
        <f>42000+9360+7020+3900+265055+228420+229970+229970+375057</f>
        <v>1390752</v>
      </c>
      <c r="H29" s="1">
        <f>294230+50000+63000+5897+10000+134+282</f>
        <v>423543</v>
      </c>
      <c r="I29" s="1">
        <f>700000+50000+22000+17693+30000+404+10000+847</f>
        <v>830944</v>
      </c>
    </row>
    <row r="30" spans="1:9" ht="12.75">
      <c r="A30" t="s">
        <v>32</v>
      </c>
      <c r="B30" s="1">
        <f>0</f>
        <v>0</v>
      </c>
      <c r="C30" s="1">
        <f>0</f>
        <v>0</v>
      </c>
      <c r="D30" s="1">
        <f>0</f>
        <v>0</v>
      </c>
      <c r="E30" s="13">
        <f>0</f>
        <v>0</v>
      </c>
      <c r="F30" s="1">
        <f>153000+124000</f>
        <v>277000</v>
      </c>
      <c r="G30" s="1">
        <f>28000</f>
        <v>28000</v>
      </c>
      <c r="H30" s="1">
        <f>33378+21131+2781+13152+1000+37700+27200+2000+25000+23728+35000+5296+1033+42</f>
        <v>228441</v>
      </c>
      <c r="I30" s="1">
        <f>37050+25000+21131+2781+13152+1000+37700+5000+27200+2000+25000+23728+35000+5296+1033+42</f>
        <v>262113</v>
      </c>
    </row>
    <row r="31" spans="1:9" ht="12.75">
      <c r="A31" t="s">
        <v>33</v>
      </c>
      <c r="B31" s="1">
        <f>696347+60900+186064+232319+18270+85685+93873+125309+177770+188529+29246+207805+38172+38336+609+20833</f>
        <v>2200067</v>
      </c>
      <c r="C31" s="1">
        <f>37630+1667227+149100+455536+568781+44730+160815+371827+164748+435230+461571+71603+508762+93454+93856+1491+230000</f>
        <v>5516361</v>
      </c>
      <c r="D31" s="1">
        <f>39799+698769+22488+28600+126309+38208+128754+54311+201942+27218+32676+28600+163660+61746+174583+108643+44586+82960+28600+13578+115153+31670+35+48560+42657+350000+108000+28800+35972+4404</f>
        <v>2871281</v>
      </c>
      <c r="E31" s="13">
        <f>1743337+99360+56140+71400+315331+90392+321436+135589+504149+67951+81571+71400+421062+215894+374102+46539</f>
        <v>4615653</v>
      </c>
      <c r="F31" s="1">
        <f>25000</f>
        <v>25000</v>
      </c>
      <c r="G31" s="1">
        <f>125000</f>
        <v>125000</v>
      </c>
      <c r="H31" s="1">
        <f>0</f>
        <v>0</v>
      </c>
      <c r="I31" s="1">
        <f>300000+2500+105000+105000+2500+10000+100000</f>
        <v>625000</v>
      </c>
    </row>
    <row r="32" spans="1:9" ht="12.75">
      <c r="A32" t="s">
        <v>34</v>
      </c>
      <c r="B32" s="1">
        <f>37264+31063+21247+45595+45095+53295</f>
        <v>233559</v>
      </c>
      <c r="C32" s="1">
        <f>65601+8932+36000+62136+42502+91204+90204+106606</f>
        <v>503185</v>
      </c>
      <c r="D32" s="1">
        <f>32676+172499+59717+13642+77792+26458+14736+30030</f>
        <v>427550</v>
      </c>
      <c r="E32" s="13">
        <f>402663+81574+149063+25000+194208+66054+36789+74970</f>
        <v>1030321</v>
      </c>
      <c r="F32" s="1">
        <f>12625+10000+2375</f>
        <v>25000</v>
      </c>
      <c r="G32" s="1">
        <f>12500</f>
        <v>12500</v>
      </c>
      <c r="H32" s="1">
        <f>0</f>
        <v>0</v>
      </c>
      <c r="I32" s="1">
        <f>0</f>
        <v>0</v>
      </c>
    </row>
    <row r="33" spans="1:9" ht="12.75">
      <c r="A33" t="s">
        <v>35</v>
      </c>
      <c r="B33" s="1">
        <f>0</f>
        <v>0</v>
      </c>
      <c r="C33" s="1">
        <f>6250</f>
        <v>6250</v>
      </c>
      <c r="D33" s="1">
        <f>31058</f>
        <v>31058</v>
      </c>
      <c r="E33" s="13">
        <f>188177+32500</f>
        <v>220677</v>
      </c>
      <c r="F33" s="1">
        <f>0</f>
        <v>0</v>
      </c>
      <c r="G33" s="1">
        <f>10000</f>
        <v>10000</v>
      </c>
      <c r="H33" s="1">
        <f>0</f>
        <v>0</v>
      </c>
      <c r="I33" s="1">
        <f>0</f>
        <v>0</v>
      </c>
    </row>
    <row r="34" spans="1:9" ht="12.75">
      <c r="A34" t="s">
        <v>36</v>
      </c>
      <c r="B34" s="1">
        <v>0</v>
      </c>
      <c r="C34" s="1">
        <f>0</f>
        <v>0</v>
      </c>
      <c r="D34" s="1">
        <f>11001</f>
        <v>11001</v>
      </c>
      <c r="E34" s="13">
        <f>14583</f>
        <v>14583</v>
      </c>
      <c r="F34" s="1">
        <f>22724+29353+27210+27336+35000+37700</f>
        <v>179323</v>
      </c>
      <c r="G34" s="1">
        <f>259618+196444+182104+182942</f>
        <v>821108</v>
      </c>
      <c r="H34" s="1">
        <f>60793+1250+2363+23812+105+17850+20062+105+20000+3626</f>
        <v>149966</v>
      </c>
      <c r="I34" s="1">
        <f>425556+8750+16543+166687+740+124950+140437+740+25385</f>
        <v>909788</v>
      </c>
    </row>
    <row r="35" spans="1:9" ht="12.75">
      <c r="A35" t="s">
        <v>37</v>
      </c>
      <c r="B35" s="1">
        <f>244973+25143+57942+936+2958+90349+161820+19205+9730+113274+68730+114869+43268+162864+29290+23270+23370+79680+28972</f>
        <v>1300643</v>
      </c>
      <c r="C35" s="1">
        <f>16400+649760+61557+141585+2292+7242+221200+396180+47019+23823+277326+168543+281231+105932+398736+56972+71710+57217+195079</f>
        <v>3179804</v>
      </c>
      <c r="D35" s="1">
        <f>17995+2067+708795+400560+400000+200000+171369+135400+84370+20000+50000+535</f>
        <v>2191091</v>
      </c>
      <c r="E35" s="13">
        <f>5210+758932+6500</f>
        <v>770642</v>
      </c>
      <c r="F35" s="1">
        <f>5000+11546+37784+4060+43270+140082+41134+8908+41377+59331+61053+870+61053+60391+33500</f>
        <v>609359</v>
      </c>
      <c r="G35" s="1">
        <f>28269+9940+105939+342960+100709+21811+92506+101303+145259+149474+2130+121535+27939+147855</f>
        <v>1397629</v>
      </c>
      <c r="H35" s="1">
        <f>11292+4290+20000+156797+94000+8361+286000+59500+1287+4764+2165</f>
        <v>648456</v>
      </c>
      <c r="I35" s="1">
        <f>25000+15708+35000+10000+20000+10710+391446+234663+50000+20874+714000+64000+10000+3213+28000+11894+5406</f>
        <v>1649914</v>
      </c>
    </row>
    <row r="36" spans="1:9" ht="12.75">
      <c r="A36" t="s">
        <v>38</v>
      </c>
      <c r="B36" s="1">
        <f>19533</f>
        <v>19533</v>
      </c>
      <c r="C36" s="1">
        <f>9765</f>
        <v>9765</v>
      </c>
      <c r="D36" s="1">
        <f>40056+35+35+125000</f>
        <v>165126</v>
      </c>
      <c r="E36" s="13">
        <f>25000+37000</f>
        <v>62000</v>
      </c>
      <c r="F36" s="1">
        <f>50000+1740+30000+27500</f>
        <v>109240</v>
      </c>
      <c r="G36" s="1">
        <f>37000+18400+4260</f>
        <v>59660</v>
      </c>
      <c r="H36" s="1">
        <f>600+61858+88000+32500+75000+57000+20000</f>
        <v>334958</v>
      </c>
      <c r="I36" s="1">
        <f>2000+37000+23000</f>
        <v>62000</v>
      </c>
    </row>
    <row r="37" spans="1:9" ht="12.75">
      <c r="A37" t="s">
        <v>39</v>
      </c>
      <c r="B37" s="1">
        <f>0</f>
        <v>0</v>
      </c>
      <c r="C37" s="1">
        <f>6000+73100</f>
        <v>79100</v>
      </c>
      <c r="D37" s="1">
        <f>0</f>
        <v>0</v>
      </c>
      <c r="E37" s="13">
        <f>90000+98000</f>
        <v>188000</v>
      </c>
      <c r="F37" s="1">
        <f>117403+7292+33472+3643+33831+35960+5444+5994+4376+9462+10538+25000+15000+33500</f>
        <v>340915</v>
      </c>
      <c r="G37" s="1">
        <f>281467+21878+100417+10931+101495+107881+16332+13129+17983</f>
        <v>671513</v>
      </c>
      <c r="H37" s="1">
        <f>298722+12491+6250+56687+53831+6250+94075+25000+9500+6087+24102+10000+2500+20000+1250+16091+74+197</f>
        <v>643107</v>
      </c>
      <c r="I37" s="1">
        <f>5250+875917+15000+37473+18750+170062+161493+18750+110225+75000+28500+18262+72306+30000+60000+7500+48274+3750+222+593</f>
        <v>1757327</v>
      </c>
    </row>
    <row r="38" spans="1:9" ht="12.75">
      <c r="A38" t="s">
        <v>40</v>
      </c>
      <c r="B38" s="1">
        <v>0</v>
      </c>
      <c r="C38" s="1">
        <f>0</f>
        <v>0</v>
      </c>
      <c r="D38" s="1">
        <f>0</f>
        <v>0</v>
      </c>
      <c r="E38" s="13">
        <f>610000</f>
        <v>610000</v>
      </c>
      <c r="F38" s="1">
        <f>0</f>
        <v>0</v>
      </c>
      <c r="G38" s="1">
        <f>25000</f>
        <v>25000</v>
      </c>
      <c r="H38" s="1">
        <f>8500+7875+22875+12500+12832+6250+96005+106250+12832+45000+12500+18750+50000+12500+18750+5704+1301+1551</f>
        <v>451975</v>
      </c>
      <c r="I38" s="1">
        <f>5000+34000+55125+160125+7000+87500+89827+43750+33577+43750+89827+87500+15000+131250+175000+175000+87500+19000+112250+39933+9108+10858</f>
        <v>1511880</v>
      </c>
    </row>
    <row r="39" spans="1:9" ht="12.75">
      <c r="A39" t="s">
        <v>41</v>
      </c>
      <c r="B39" s="1">
        <f>0</f>
        <v>0</v>
      </c>
      <c r="C39" s="1">
        <f>0</f>
        <v>0</v>
      </c>
      <c r="D39" s="1">
        <f>871+84496+139210+170153+125765+110126+24975+109890+110000+16650+46178</f>
        <v>938314</v>
      </c>
      <c r="E39" s="13">
        <f>289186+10000+1746+278839+340818+251909+220583</f>
        <v>1393081</v>
      </c>
      <c r="F39" s="1">
        <f>53960+10000+57000+50000</f>
        <v>170960</v>
      </c>
      <c r="G39" s="1">
        <f>138040+565300+15600</f>
        <v>718940</v>
      </c>
      <c r="H39" s="1">
        <f>10240+7159+13320+40000+9601+52947+9324+90909+5661+50000+3163+12325+486+4995+93</f>
        <v>310223</v>
      </c>
      <c r="I39" s="1">
        <f>97037+66750+31250+14340+26680+19230+106053+18676+182091+11339+30000+6336+24688+975+10005+10000+186</f>
        <v>655636</v>
      </c>
    </row>
    <row r="40" spans="1:9" ht="12.75">
      <c r="A40" t="s">
        <v>42</v>
      </c>
      <c r="B40" s="1">
        <f>0</f>
        <v>0</v>
      </c>
      <c r="C40" s="1">
        <f>0</f>
        <v>0</v>
      </c>
      <c r="D40" s="1">
        <f>40000</f>
        <v>40000</v>
      </c>
      <c r="E40" s="13">
        <f>17500+15000+45000</f>
        <v>77500</v>
      </c>
      <c r="F40" s="1">
        <f>65800+100000+16641+16516+19291+18380+19344+11098+16793</f>
        <v>283863</v>
      </c>
      <c r="G40" s="1">
        <f>39200+40743+40436+47230+45001+47361+27171+41114</f>
        <v>328256</v>
      </c>
      <c r="H40" s="1">
        <f>34274+7555+7555+6112+8350+6346+26470+4175+4175+36000+5782+4847</f>
        <v>151641</v>
      </c>
      <c r="I40" s="1">
        <f>319571+37684+37684+16650+30487+31654+131723+20825+20825+28842+24181</f>
        <v>700126</v>
      </c>
    </row>
    <row r="41" spans="1:9" ht="12.75">
      <c r="A41" t="s">
        <v>43</v>
      </c>
      <c r="B41" s="1">
        <f>0</f>
        <v>0</v>
      </c>
      <c r="C41" s="1">
        <f>0</f>
        <v>0</v>
      </c>
      <c r="D41" s="1">
        <f>1500</f>
        <v>1500</v>
      </c>
      <c r="E41" s="13">
        <f>46000+16500+125000+33000+29000+65000+10500</f>
        <v>325000</v>
      </c>
      <c r="F41" s="1">
        <f>9661</f>
        <v>9661</v>
      </c>
      <c r="G41" s="1">
        <f>64660</f>
        <v>64660</v>
      </c>
      <c r="H41" s="1">
        <f>137+12000+14995+450+137+191</f>
        <v>27910</v>
      </c>
      <c r="I41" s="1">
        <f>2000+1000+961+84000+104967+3152+961+1340-500</f>
        <v>197881</v>
      </c>
    </row>
    <row r="42" spans="1:9" ht="12.75">
      <c r="A42" t="s">
        <v>44</v>
      </c>
      <c r="B42" s="1">
        <f>0</f>
        <v>0</v>
      </c>
      <c r="C42" s="1">
        <f>0</f>
        <v>0</v>
      </c>
      <c r="D42" s="1">
        <f>13028+5328</f>
        <v>18356</v>
      </c>
      <c r="E42" s="13">
        <f>72472+47458+10000</f>
        <v>129930</v>
      </c>
      <c r="F42" s="1">
        <f>48523+550</f>
        <v>49073</v>
      </c>
      <c r="G42" s="1">
        <f>172022+1950</f>
        <v>173972</v>
      </c>
      <c r="H42" s="1">
        <f>26500+42846+7997+1888+4478+25000+2656+3154</f>
        <v>114519</v>
      </c>
      <c r="I42" s="1">
        <f>150154+28028+6617+15695+9308+11056</f>
        <v>220858</v>
      </c>
    </row>
    <row r="43" spans="1:9" ht="12.75">
      <c r="A43" t="s">
        <v>45</v>
      </c>
      <c r="B43" s="1">
        <f>274822+2550+95842+11968+98016+16202+4002</f>
        <v>503402</v>
      </c>
      <c r="C43" s="1">
        <f>610978+4950+23233+186384+31452+7769</f>
        <v>864766</v>
      </c>
      <c r="D43" s="1">
        <f>10000+5601+254166+15000+18590+35000</f>
        <v>338357</v>
      </c>
      <c r="E43" s="13">
        <f>711822+31800+20329</f>
        <v>763951</v>
      </c>
      <c r="F43" s="1">
        <f>0</f>
        <v>0</v>
      </c>
      <c r="G43" s="1">
        <f>25000</f>
        <v>25000</v>
      </c>
      <c r="H43" s="1">
        <f>5000</f>
        <v>5000</v>
      </c>
      <c r="I43" s="1">
        <f>0</f>
        <v>0</v>
      </c>
    </row>
    <row r="44" spans="1:9" ht="12.75">
      <c r="A44" t="s">
        <v>46</v>
      </c>
      <c r="B44" s="1">
        <f>0</f>
        <v>0</v>
      </c>
      <c r="C44" s="1">
        <f>120000</f>
        <v>120000</v>
      </c>
      <c r="D44" s="1">
        <f>200</f>
        <v>200</v>
      </c>
      <c r="E44" s="13">
        <f>1785</f>
        <v>1785</v>
      </c>
      <c r="F44" s="1">
        <f>660966+300000+24160+39166+44349+41767+51663+2745+12629+9625+22060+75000</f>
        <v>1284130</v>
      </c>
      <c r="G44" s="1">
        <f>953354+117962+191223+216528+203921+252238+150000</f>
        <v>2085226</v>
      </c>
      <c r="H44" s="1">
        <f>130754+87000+4500+22100+3841+13187+35070+16525+5100+10140+30260+35020+32300+60000+8850+8000+42500+7950+35660+8777+8500+674+3945</f>
        <v>610653</v>
      </c>
      <c r="I44" s="1">
        <f>606066+453000+3200+107900+19159+65777+174300+24900+147740+50579+170980+157700+44144+10837+207500+5850+43780+8000+7000+10000+65000+3290+25000+19682+82430</f>
        <v>2513814</v>
      </c>
    </row>
    <row r="45" spans="1:9" ht="12.75">
      <c r="A45" t="s">
        <v>47</v>
      </c>
      <c r="B45" s="1">
        <f>0</f>
        <v>0</v>
      </c>
      <c r="C45" s="1">
        <f>0</f>
        <v>0</v>
      </c>
      <c r="D45" s="1">
        <f>0</f>
        <v>0</v>
      </c>
      <c r="E45" s="13">
        <f>0</f>
        <v>0</v>
      </c>
      <c r="F45" s="1">
        <f>0</f>
        <v>0</v>
      </c>
      <c r="G45" s="1">
        <f>0</f>
        <v>0</v>
      </c>
      <c r="H45" s="1">
        <f>0</f>
        <v>0</v>
      </c>
      <c r="I45" s="1">
        <f>0</f>
        <v>0</v>
      </c>
    </row>
    <row r="46" spans="1:9" ht="12.75">
      <c r="A46" t="s">
        <v>48</v>
      </c>
      <c r="B46" s="1">
        <f>64250+49850+24250+52550+55875+59950+50000+10827</f>
        <v>367552</v>
      </c>
      <c r="C46" s="1">
        <f>192750+149550+72750+157650+167625+179850+150000+32482</f>
        <v>1102657</v>
      </c>
      <c r="D46" s="1">
        <f>381058+52982+60973+58917+104766+14000+16500+56782+24000+33000+60519+70+1845+1243</f>
        <v>866655</v>
      </c>
      <c r="E46" s="13">
        <f>1394195+132018+158946+176752+314357+23344+37500+205000+61110+11464+49500+147000+72000</f>
        <v>2783186</v>
      </c>
      <c r="F46" s="1">
        <f>0</f>
        <v>0</v>
      </c>
      <c r="G46" s="1">
        <f>0</f>
        <v>0</v>
      </c>
      <c r="H46" s="1">
        <f>0</f>
        <v>0</v>
      </c>
      <c r="I46" s="1">
        <f>10000</f>
        <v>10000</v>
      </c>
    </row>
    <row r="47" spans="1:9" ht="12.75">
      <c r="A47" t="s">
        <v>49</v>
      </c>
      <c r="B47" s="1">
        <f>358433+4664+4664+4325+360030+10000+38995+1588+4191+2782+32736+5049+10956+6519+14984+10612</f>
        <v>870528</v>
      </c>
      <c r="C47" s="1">
        <f>215772+1265042+16536+16536+15335+1276470+138256+5631+14859+9665+116064+17903+38844+23115+53124+37644</f>
        <v>3260796</v>
      </c>
      <c r="D47" s="1">
        <f>24866+874034+53076+50982+36196+8880+190902+31524+41462+17005+22200+35+88410+5556</f>
        <v>1445128</v>
      </c>
      <c r="E47" s="13">
        <f>40000+3077329+20000+87214+186001+178866+26847+81120+869016+10476+100000+100000+70000+125000+20302+57000+77800+5000+242311+19444</f>
        <v>5393726</v>
      </c>
      <c r="F47" s="1">
        <f>18280+6721</f>
        <v>25001</v>
      </c>
      <c r="G47" s="1">
        <f>120000</f>
        <v>120000</v>
      </c>
      <c r="H47" s="1">
        <f>112907+12220+15000</f>
        <v>140127</v>
      </c>
      <c r="I47" s="1">
        <f>400683+7780</f>
        <v>408463</v>
      </c>
    </row>
    <row r="48" spans="1:9" ht="12.75">
      <c r="A48" t="s">
        <v>50</v>
      </c>
      <c r="B48" s="1">
        <f>90000+116000+89296+23394+12942</f>
        <v>331632</v>
      </c>
      <c r="C48" s="1">
        <f>115000+284000+218620+57275+31684</f>
        <v>706579</v>
      </c>
      <c r="D48" s="1">
        <f>10000+25340+45000+74000+101441+77000+126400+4031+235</f>
        <v>463447</v>
      </c>
      <c r="E48" s="13">
        <f>28740+5850+39357+36200+100000+259333+76559</f>
        <v>546039</v>
      </c>
      <c r="F48" s="1">
        <f>2900+30000</f>
        <v>32900</v>
      </c>
      <c r="G48" s="1">
        <f>7100</f>
        <v>7100</v>
      </c>
      <c r="H48" s="1">
        <f>70928+60060+5872</f>
        <v>136860</v>
      </c>
      <c r="I48" s="1">
        <f>125000+8000+177072+149940+14660</f>
        <v>474672</v>
      </c>
    </row>
    <row r="49" spans="1:9" ht="12.75">
      <c r="A49" t="s">
        <v>51</v>
      </c>
      <c r="B49" s="1">
        <f>66103+66000+3685+31853+89625+677</f>
        <v>257943</v>
      </c>
      <c r="C49" s="1">
        <f>2134365+234000+13065+112933+317761+2402</f>
        <v>2814526</v>
      </c>
      <c r="D49" s="1">
        <f>133411+126462+48784+50000+186295+3330+320374+70000+222000+178925+429439+35+389000+25000+225000+32563+20000+1672+410</f>
        <v>2462700</v>
      </c>
      <c r="E49" s="13">
        <f>100000+123547+15560+443185+170965+652875+11870+520000+300000+295000+51596+26000+778000+107042+87000+200000+320973</f>
        <v>4203613</v>
      </c>
      <c r="F49" s="1">
        <f>354746+1540+76000</f>
        <v>432286</v>
      </c>
      <c r="G49" s="1">
        <f>1333654+5460</f>
        <v>1339114</v>
      </c>
      <c r="H49" s="1">
        <f>354275+10000+11440+93500+50000+200000+14080+175000+50000+30000+1914+101454+28389+20202+6234+294000+7812+16225+19460+22000+52180+23500+6278+485+1776+226+11101</f>
        <v>1601531</v>
      </c>
      <c r="I49" s="1">
        <f>1425553+40560+50000+281500+49920+50000+6786+500000+500000+25000+1000000+355546+21848+7500+27699+56860+50000+22000+10000+22351+1720+6224+801+39358</f>
        <v>4551226</v>
      </c>
    </row>
    <row r="50" spans="1:9" ht="12.75">
      <c r="A50" t="s">
        <v>52</v>
      </c>
      <c r="B50" s="1">
        <f>0</f>
        <v>0</v>
      </c>
      <c r="C50" s="1">
        <f>24250</f>
        <v>24250</v>
      </c>
      <c r="D50" s="1">
        <f>0</f>
        <v>0</v>
      </c>
      <c r="E50" s="13">
        <f>0</f>
        <v>0</v>
      </c>
      <c r="F50" s="1">
        <f>5000+100000</f>
        <v>105000</v>
      </c>
      <c r="G50" s="1">
        <f>122500</f>
        <v>122500</v>
      </c>
      <c r="H50" s="1">
        <f>4800+3000+31800+7000+11880+7920+2600+2000+1079+112+6800</f>
        <v>78991</v>
      </c>
      <c r="I50" s="1">
        <f>19200+12000+40000+127200+28000+47520+31680+10400+8000+4319+449+27200</f>
        <v>355968</v>
      </c>
    </row>
    <row r="51" spans="1:9" ht="12.75">
      <c r="A51" t="s">
        <v>53</v>
      </c>
      <c r="B51" s="1">
        <f>0</f>
        <v>0</v>
      </c>
      <c r="C51" s="1">
        <f>0</f>
        <v>0</v>
      </c>
      <c r="D51" s="1">
        <f>0</f>
        <v>0</v>
      </c>
      <c r="E51" s="13">
        <v>0</v>
      </c>
      <c r="F51" s="1">
        <f>0</f>
        <v>0</v>
      </c>
      <c r="G51" s="1">
        <f>0</f>
        <v>0</v>
      </c>
      <c r="H51" s="1">
        <f>0</f>
        <v>0</v>
      </c>
      <c r="I51" s="1">
        <f>0</f>
        <v>0</v>
      </c>
    </row>
    <row r="52" spans="1:9" ht="12.75">
      <c r="A52" t="s">
        <v>54</v>
      </c>
      <c r="B52" s="1">
        <f>0</f>
        <v>0</v>
      </c>
      <c r="C52" s="1">
        <f>370000</f>
        <v>370000</v>
      </c>
      <c r="D52" s="1">
        <f>1400</f>
        <v>1400</v>
      </c>
      <c r="E52" s="13">
        <f>0</f>
        <v>0</v>
      </c>
      <c r="F52" s="1">
        <f>1105241+50000+21000</f>
        <v>1176241</v>
      </c>
      <c r="G52" s="1">
        <f>2874598+250000+50000</f>
        <v>3174598</v>
      </c>
      <c r="H52" s="1">
        <f>499350</f>
        <v>499350</v>
      </c>
      <c r="I52" s="1">
        <f>1572300+25000</f>
        <v>1597300</v>
      </c>
    </row>
    <row r="53" spans="1:9" ht="12.75">
      <c r="A53" t="s">
        <v>55</v>
      </c>
      <c r="B53" s="1">
        <f>0</f>
        <v>0</v>
      </c>
      <c r="C53" s="1">
        <f>108000+11000</f>
        <v>119000</v>
      </c>
      <c r="D53" s="1">
        <f>166</f>
        <v>166</v>
      </c>
      <c r="E53" s="13">
        <f>10000+200000+100000</f>
        <v>310000</v>
      </c>
      <c r="F53" s="1">
        <f>0</f>
        <v>0</v>
      </c>
      <c r="G53" s="1">
        <f>245000</f>
        <v>245000</v>
      </c>
      <c r="H53" s="1">
        <f>10033</f>
        <v>10033</v>
      </c>
      <c r="I53" s="1">
        <f>23411</f>
        <v>23411</v>
      </c>
    </row>
    <row r="54" spans="1:9" ht="12.75">
      <c r="A54" t="s">
        <v>56</v>
      </c>
      <c r="B54" s="1">
        <f>0</f>
        <v>0</v>
      </c>
      <c r="C54" s="1">
        <f>0</f>
        <v>0</v>
      </c>
      <c r="D54" s="1">
        <f>0</f>
        <v>0</v>
      </c>
      <c r="E54" s="13">
        <f>0</f>
        <v>0</v>
      </c>
      <c r="F54" s="1">
        <f>9366</f>
        <v>9366</v>
      </c>
      <c r="G54" s="1">
        <f>0</f>
        <v>0</v>
      </c>
      <c r="H54" s="1">
        <f>9000+20000</f>
        <v>29000</v>
      </c>
      <c r="I54" s="1">
        <f>1000+20000</f>
        <v>21000</v>
      </c>
    </row>
    <row r="55" spans="1:9" ht="12.75">
      <c r="A55" t="s">
        <v>57</v>
      </c>
      <c r="B55" s="1">
        <v>0</v>
      </c>
      <c r="C55" s="1">
        <v>0</v>
      </c>
      <c r="D55" s="1">
        <v>0</v>
      </c>
      <c r="E55" s="13">
        <f>0</f>
        <v>0</v>
      </c>
      <c r="F55" s="1">
        <f>215945+184110</f>
        <v>400055</v>
      </c>
      <c r="G55" s="1">
        <f>0</f>
        <v>0</v>
      </c>
      <c r="H55" s="1">
        <f>0</f>
        <v>0</v>
      </c>
      <c r="I55" s="1">
        <f>18000</f>
        <v>18000</v>
      </c>
    </row>
    <row r="56" spans="1:9" ht="12.75">
      <c r="A56" t="s">
        <v>58</v>
      </c>
      <c r="B56" s="1">
        <f>0</f>
        <v>0</v>
      </c>
      <c r="C56" s="1">
        <f>11000</f>
        <v>11000</v>
      </c>
      <c r="D56" s="1">
        <f>0</f>
        <v>0</v>
      </c>
      <c r="E56" s="13">
        <f>0</f>
        <v>0</v>
      </c>
      <c r="F56" s="1">
        <f>30000</f>
        <v>30000</v>
      </c>
      <c r="G56" s="1">
        <f>0</f>
        <v>0</v>
      </c>
      <c r="H56" s="1">
        <f>0</f>
        <v>0</v>
      </c>
      <c r="I56" s="1">
        <f>0</f>
        <v>0</v>
      </c>
    </row>
    <row r="57" spans="2:9" ht="12.75">
      <c r="B57" s="1"/>
      <c r="C57" s="1"/>
      <c r="D57" s="11"/>
      <c r="E57" s="12"/>
      <c r="F57" s="1"/>
      <c r="G57" s="1"/>
      <c r="H57" s="1"/>
      <c r="I57" s="1"/>
    </row>
    <row r="58" spans="1:9" ht="12.75">
      <c r="A58" t="s">
        <v>59</v>
      </c>
      <c r="B58" s="1">
        <f aca="true" t="shared" si="0" ref="B58:I58">SUM(B7:B56)</f>
        <v>12706844</v>
      </c>
      <c r="C58" s="1">
        <f t="shared" si="0"/>
        <v>43709518</v>
      </c>
      <c r="D58" s="11">
        <f t="shared" si="0"/>
        <v>21735684</v>
      </c>
      <c r="E58" s="12">
        <f t="shared" si="0"/>
        <v>48860140</v>
      </c>
      <c r="F58" s="1">
        <f t="shared" si="0"/>
        <v>9773239</v>
      </c>
      <c r="G58" s="1">
        <f t="shared" si="0"/>
        <v>19223615</v>
      </c>
      <c r="H58" s="1">
        <f t="shared" si="0"/>
        <v>11735743</v>
      </c>
      <c r="I58" s="1">
        <f t="shared" si="0"/>
        <v>33807127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2002-12-18T14:12:08Z</dcterms:created>
  <dcterms:modified xsi:type="dcterms:W3CDTF">2002-12-18T14:12:38Z</dcterms:modified>
  <cp:category/>
  <cp:version/>
  <cp:contentType/>
  <cp:contentStatus/>
</cp:coreProperties>
</file>