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<sst xmlns="http://schemas.openxmlformats.org/spreadsheetml/2006/main" count="66" uniqueCount="60">
  <si>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National Party Transfers to State/Local Party Committees</t>
  </si>
  <si>
    <t>January 1, 2001 - October 16,2002</t>
  </si>
  <si>
    <t>Fed</t>
  </si>
  <si>
    <t>eral</t>
  </si>
  <si>
    <t>Non</t>
  </si>
  <si>
    <t>Federal</t>
  </si>
  <si>
    <t>Total</t>
  </si>
  <si>
    <t>State</t>
  </si>
  <si>
    <t>RNC</t>
  </si>
  <si>
    <t>DNC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</si>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</sst>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B57" sqref="B57:G57"/>
    </sheetView>
  </sheetViews>
  <sheetFormatPr defaultColWidth="9.140625" defaultRowHeight="12.75"/>
  <cols>
    <col min="2" max="2" width="11.421875" style="0" bestFit="1" customWidth="1"/>
    <col min="3" max="3" width="10.421875" style="0" bestFit="1" customWidth="1"/>
    <col min="4" max="7" width="11.421875" style="0" bestFit="1" customWidth="1"/>
  </cols>
  <sheetData>
    <row r="1" spans="2:7" ht="12.75">
      <c r="B1" s="1"/>
      <c r="C1" s="1"/>
      <c r="D1" s="2" t="s">
        <v>0</v>
      </c>
      <c r="E1" s="1"/>
      <c r="F1" s="1"/>
      <c r="G1" s="1"/>
    </row>
    <row r="2" spans="2:7" ht="12.75">
      <c r="B2" s="1"/>
      <c r="C2" s="1"/>
      <c r="D2" s="3" t="s">
        <v>1</v>
      </c>
      <c r="E2" s="1"/>
      <c r="F2" s="1"/>
      <c r="G2" s="1"/>
    </row>
    <row r="3" spans="2:7" ht="12.75">
      <c r="B3" s="4" t="s">
        <v>2</v>
      </c>
      <c r="C3" s="1" t="s">
        <v>3</v>
      </c>
      <c r="D3" s="4" t="s">
        <v>4</v>
      </c>
      <c r="E3" s="5" t="s">
        <v>5</v>
      </c>
      <c r="F3" s="2" t="s">
        <v>6</v>
      </c>
      <c r="G3" s="2" t="s">
        <v>6</v>
      </c>
    </row>
    <row r="4" spans="1:7" ht="12.75">
      <c r="A4" s="6" t="s">
        <v>7</v>
      </c>
      <c r="B4" s="7" t="s">
        <v>8</v>
      </c>
      <c r="C4" s="7" t="s">
        <v>9</v>
      </c>
      <c r="D4" s="7" t="s">
        <v>8</v>
      </c>
      <c r="E4" s="8" t="s">
        <v>9</v>
      </c>
      <c r="F4" s="7" t="s">
        <v>8</v>
      </c>
      <c r="G4" s="7" t="s">
        <v>9</v>
      </c>
    </row>
    <row r="5" spans="4:7" ht="12.75">
      <c r="D5" s="1"/>
      <c r="E5" s="5"/>
      <c r="F5" s="1"/>
      <c r="G5" s="1"/>
    </row>
    <row r="6" spans="1:7" ht="12.75">
      <c r="A6" t="s">
        <v>10</v>
      </c>
      <c r="B6" s="1">
        <f>6600+37500+27500</f>
        <v>71600</v>
      </c>
      <c r="C6" s="1">
        <f>26802+1110</f>
        <v>27912</v>
      </c>
      <c r="D6" s="1">
        <f>29400+97500+97500+25000</f>
        <v>249400</v>
      </c>
      <c r="E6" s="5">
        <f>3500+176380+200000+3890</f>
        <v>383770</v>
      </c>
      <c r="F6" s="1">
        <f aca="true" t="shared" si="0" ref="F6:G21">B6+D6</f>
        <v>321000</v>
      </c>
      <c r="G6" s="1">
        <f t="shared" si="0"/>
        <v>411682</v>
      </c>
    </row>
    <row r="7" spans="1:7" ht="12.75">
      <c r="A7" t="s">
        <v>11</v>
      </c>
      <c r="B7" s="1">
        <v>10000</v>
      </c>
      <c r="C7" s="1">
        <v>26134</v>
      </c>
      <c r="D7" s="1">
        <v>534000</v>
      </c>
      <c r="E7" s="5">
        <f>23204+10000</f>
        <v>33204</v>
      </c>
      <c r="F7" s="1">
        <f t="shared" si="0"/>
        <v>544000</v>
      </c>
      <c r="G7" s="1">
        <f t="shared" si="0"/>
        <v>59338</v>
      </c>
    </row>
    <row r="8" spans="1:7" ht="12.75">
      <c r="A8" t="s">
        <v>12</v>
      </c>
      <c r="B8" s="1">
        <f>72440+39000+20000+76600+75000</f>
        <v>283040</v>
      </c>
      <c r="C8" s="1">
        <f>66615+750</f>
        <v>67365</v>
      </c>
      <c r="D8" s="1">
        <f>170560+176000+158400</f>
        <v>504960</v>
      </c>
      <c r="E8" s="5">
        <f>23807+30000+17500+200000+5250+43750+6250+65000+5250+15000</f>
        <v>411807</v>
      </c>
      <c r="F8" s="1">
        <f t="shared" si="0"/>
        <v>788000</v>
      </c>
      <c r="G8" s="1">
        <f t="shared" si="0"/>
        <v>479172</v>
      </c>
    </row>
    <row r="9" spans="1:7" ht="12.75">
      <c r="A9" t="s">
        <v>13</v>
      </c>
      <c r="B9" s="1">
        <f>145300+12304+100000+39563+100000+100000+17102</f>
        <v>514269</v>
      </c>
      <c r="C9" s="1">
        <f>77550+34444</f>
        <v>111994</v>
      </c>
      <c r="D9" s="1">
        <f>444555+140271+30123+50000+100000+60634</f>
        <v>825583</v>
      </c>
      <c r="E9" s="5">
        <f>35399+77800</f>
        <v>113199</v>
      </c>
      <c r="F9" s="1">
        <f t="shared" si="0"/>
        <v>1339852</v>
      </c>
      <c r="G9" s="1">
        <f t="shared" si="0"/>
        <v>225193</v>
      </c>
    </row>
    <row r="10" spans="1:7" ht="12.75">
      <c r="A10" t="s">
        <v>14</v>
      </c>
      <c r="B10" s="1">
        <f>30051+29000+556800</f>
        <v>615851</v>
      </c>
      <c r="C10" s="1">
        <f>291210</f>
        <v>291210</v>
      </c>
      <c r="D10" s="1">
        <f>514513+252200+83200</f>
        <v>849913</v>
      </c>
      <c r="E10" s="5">
        <f>343510</f>
        <v>343510</v>
      </c>
      <c r="F10" s="1">
        <f t="shared" si="0"/>
        <v>1465764</v>
      </c>
      <c r="G10" s="1">
        <f t="shared" si="0"/>
        <v>634720</v>
      </c>
    </row>
    <row r="11" spans="1:7" ht="12.75">
      <c r="A11" t="s">
        <v>15</v>
      </c>
      <c r="B11" s="1">
        <f>411460+37000+20000+104000+16500</f>
        <v>588960</v>
      </c>
      <c r="C11" s="1">
        <f>128008+1110+666</f>
        <v>129784</v>
      </c>
      <c r="D11" s="1">
        <f>829522+78000+58500</f>
        <v>966022</v>
      </c>
      <c r="E11" s="5">
        <f>68480+77800+77800+18000+3890+62778+2334</f>
        <v>311082</v>
      </c>
      <c r="F11" s="1">
        <f t="shared" si="0"/>
        <v>1554982</v>
      </c>
      <c r="G11" s="1">
        <f t="shared" si="0"/>
        <v>440866</v>
      </c>
    </row>
    <row r="12" spans="1:7" ht="12.75">
      <c r="A12" t="s">
        <v>16</v>
      </c>
      <c r="B12" s="1">
        <f>373500+343500+203500</f>
        <v>920500</v>
      </c>
      <c r="C12" s="1">
        <f>72914+15000</f>
        <v>87914</v>
      </c>
      <c r="D12" s="1">
        <v>0</v>
      </c>
      <c r="E12" s="5">
        <v>0</v>
      </c>
      <c r="F12" s="1">
        <f t="shared" si="0"/>
        <v>920500</v>
      </c>
      <c r="G12" s="1">
        <f t="shared" si="0"/>
        <v>87914</v>
      </c>
    </row>
    <row r="13" spans="1:7" ht="12.75">
      <c r="A13" t="s">
        <v>17</v>
      </c>
      <c r="B13" s="1">
        <v>5150</v>
      </c>
      <c r="C13" s="1">
        <f>12601</f>
        <v>12601</v>
      </c>
      <c r="D13" s="1">
        <f>32850+37000-5000+63000</f>
        <v>127850</v>
      </c>
      <c r="E13" s="5">
        <f>10261</f>
        <v>10261</v>
      </c>
      <c r="F13" s="1">
        <f t="shared" si="0"/>
        <v>133000</v>
      </c>
      <c r="G13" s="1">
        <f t="shared" si="0"/>
        <v>22862</v>
      </c>
    </row>
    <row r="14" spans="1:7" ht="12.75">
      <c r="A14" t="s">
        <v>18</v>
      </c>
      <c r="B14" s="1">
        <v>-69200</v>
      </c>
      <c r="C14" s="1">
        <f>418595+2500</f>
        <v>421095</v>
      </c>
      <c r="D14" s="1">
        <f>3510050+475000+250000+500000+105000+350000-167500-3350+250000+78400+25000</f>
        <v>5372600</v>
      </c>
      <c r="E14" s="5">
        <f>479744+100000+17500</f>
        <v>597244</v>
      </c>
      <c r="F14" s="1">
        <f t="shared" si="0"/>
        <v>5303400</v>
      </c>
      <c r="G14" s="1">
        <f t="shared" si="0"/>
        <v>1018339</v>
      </c>
    </row>
    <row r="15" spans="1:7" ht="12.75">
      <c r="A15" t="s">
        <v>19</v>
      </c>
      <c r="B15" s="1">
        <f>14300+65000+55000+55000</f>
        <v>189300</v>
      </c>
      <c r="C15" s="1">
        <f>62243+11667</f>
        <v>73910</v>
      </c>
      <c r="D15" s="1">
        <f>256700+195000+195000+150000+150000+195000+150000</f>
        <v>1291700</v>
      </c>
      <c r="E15" s="5">
        <f>20583</f>
        <v>20583</v>
      </c>
      <c r="F15" s="1">
        <f t="shared" si="0"/>
        <v>1481000</v>
      </c>
      <c r="G15" s="1">
        <f t="shared" si="0"/>
        <v>94493</v>
      </c>
    </row>
    <row r="16" spans="1:7" ht="12.75">
      <c r="A16" t="s">
        <v>20</v>
      </c>
      <c r="B16" s="1">
        <v>49500</v>
      </c>
      <c r="C16" s="1">
        <f>23863+286</f>
        <v>24149</v>
      </c>
      <c r="D16" s="1">
        <v>0</v>
      </c>
      <c r="E16" s="5">
        <f>5562+15000+10000+1714+6857+1143</f>
        <v>40276</v>
      </c>
      <c r="F16" s="1">
        <f t="shared" si="0"/>
        <v>49500</v>
      </c>
      <c r="G16" s="1">
        <f t="shared" si="0"/>
        <v>64425</v>
      </c>
    </row>
    <row r="17" spans="1:7" ht="12.75">
      <c r="A17" t="s">
        <v>21</v>
      </c>
      <c r="B17" s="1">
        <v>3107</v>
      </c>
      <c r="C17" s="1">
        <f>20155</f>
        <v>20155</v>
      </c>
      <c r="D17" s="1">
        <f>63020+65000+20000</f>
        <v>148020</v>
      </c>
      <c r="E17" s="5">
        <f>1631+3890</f>
        <v>5521</v>
      </c>
      <c r="F17" s="1">
        <f t="shared" si="0"/>
        <v>151127</v>
      </c>
      <c r="G17" s="1">
        <f t="shared" si="0"/>
        <v>25676</v>
      </c>
    </row>
    <row r="18" spans="1:7" ht="12.75">
      <c r="A18" t="s">
        <v>22</v>
      </c>
      <c r="B18" s="1">
        <f>3080+106000+33000+44000+33000</f>
        <v>219080</v>
      </c>
      <c r="C18" s="1">
        <v>49479</v>
      </c>
      <c r="D18" s="1">
        <f>53920+117000+117000</f>
        <v>287920</v>
      </c>
      <c r="E18" s="5">
        <f>0</f>
        <v>0</v>
      </c>
      <c r="F18" s="1">
        <f t="shared" si="0"/>
        <v>507000</v>
      </c>
      <c r="G18" s="1">
        <f t="shared" si="0"/>
        <v>49479</v>
      </c>
    </row>
    <row r="19" spans="1:7" ht="12.75">
      <c r="A19" t="s">
        <v>23</v>
      </c>
      <c r="B19" s="1">
        <f>7259+17441+150000</f>
        <v>174700</v>
      </c>
      <c r="C19" s="1">
        <f>38556+1429</f>
        <v>39985</v>
      </c>
      <c r="D19" s="1">
        <f>50591+45709</f>
        <v>96300</v>
      </c>
      <c r="E19" s="5">
        <f>79285+4285+10000+18571</f>
        <v>112141</v>
      </c>
      <c r="F19" s="1">
        <f t="shared" si="0"/>
        <v>271000</v>
      </c>
      <c r="G19" s="1">
        <f t="shared" si="0"/>
        <v>152126</v>
      </c>
    </row>
    <row r="20" spans="1:7" ht="12.75">
      <c r="A20" t="s">
        <v>24</v>
      </c>
      <c r="B20" s="1">
        <f>140849+315000+75000+75000+50000</f>
        <v>655849</v>
      </c>
      <c r="C20" s="1">
        <f>96113+44444</f>
        <v>140557</v>
      </c>
      <c r="D20" s="1">
        <f>144830+75000+75000+50000</f>
        <v>344830</v>
      </c>
      <c r="E20" s="5">
        <f>335413+47000+5556</f>
        <v>387969</v>
      </c>
      <c r="F20" s="1">
        <f t="shared" si="0"/>
        <v>1000679</v>
      </c>
      <c r="G20" s="1">
        <f t="shared" si="0"/>
        <v>528526</v>
      </c>
    </row>
    <row r="21" spans="1:7" ht="12.75">
      <c r="A21" t="s">
        <v>25</v>
      </c>
      <c r="B21" s="1">
        <f>38750+50000</f>
        <v>88750</v>
      </c>
      <c r="C21" s="1">
        <v>27136</v>
      </c>
      <c r="D21" s="1">
        <f>11250+13000+25000</f>
        <v>49250</v>
      </c>
      <c r="E21" s="5">
        <f>25986+10000+10000+10000+10000</f>
        <v>65986</v>
      </c>
      <c r="F21" s="1">
        <f t="shared" si="0"/>
        <v>138000</v>
      </c>
      <c r="G21" s="1">
        <f t="shared" si="0"/>
        <v>93122</v>
      </c>
    </row>
    <row r="22" spans="1:7" ht="12.75">
      <c r="A22" t="s">
        <v>26</v>
      </c>
      <c r="B22" s="1">
        <f>127216+80638+50000+39782</f>
        <v>297636</v>
      </c>
      <c r="C22" s="1">
        <v>31665</v>
      </c>
      <c r="D22" s="1">
        <f>227092+123112+60467</f>
        <v>410671</v>
      </c>
      <c r="E22" s="5">
        <f>28855+324+4676+18000+150000+25000</f>
        <v>226855</v>
      </c>
      <c r="F22" s="1">
        <f aca="true" t="shared" si="1" ref="F22:G37">B22+D22</f>
        <v>708307</v>
      </c>
      <c r="G22" s="1">
        <f t="shared" si="1"/>
        <v>258520</v>
      </c>
    </row>
    <row r="23" spans="1:7" ht="12.75">
      <c r="A23" t="s">
        <v>27</v>
      </c>
      <c r="B23" s="1">
        <f>7000+6000+2500</f>
        <v>15500</v>
      </c>
      <c r="C23" s="1">
        <f>31155+30000</f>
        <v>61155</v>
      </c>
      <c r="D23" s="1">
        <f>15500+1000</f>
        <v>16500</v>
      </c>
      <c r="E23" s="5">
        <f>48700+2500</f>
        <v>51200</v>
      </c>
      <c r="F23" s="1">
        <f t="shared" si="1"/>
        <v>32000</v>
      </c>
      <c r="G23" s="1">
        <f t="shared" si="1"/>
        <v>112355</v>
      </c>
    </row>
    <row r="24" spans="1:7" ht="12.75">
      <c r="A24" t="s">
        <v>28</v>
      </c>
      <c r="B24" s="1">
        <f>77963+50000+20850+50000</f>
        <v>198813</v>
      </c>
      <c r="C24" s="1">
        <v>83216</v>
      </c>
      <c r="D24" s="1">
        <f>269823+75000+59920+175000</f>
        <v>579743</v>
      </c>
      <c r="E24" s="5">
        <v>117452</v>
      </c>
      <c r="F24" s="1">
        <f t="shared" si="1"/>
        <v>778556</v>
      </c>
      <c r="G24" s="1">
        <f t="shared" si="1"/>
        <v>200668</v>
      </c>
    </row>
    <row r="25" spans="1:7" ht="12.75">
      <c r="A25" t="s">
        <v>29</v>
      </c>
      <c r="B25" s="1">
        <f>51625+75000</f>
        <v>126625</v>
      </c>
      <c r="C25" s="1">
        <f>63006+3125</f>
        <v>66131</v>
      </c>
      <c r="D25" s="1">
        <v>16875</v>
      </c>
      <c r="E25" s="5">
        <f>15734+4375+6000</f>
        <v>26109</v>
      </c>
      <c r="F25" s="1">
        <f t="shared" si="1"/>
        <v>143500</v>
      </c>
      <c r="G25" s="1">
        <f t="shared" si="1"/>
        <v>92240</v>
      </c>
    </row>
    <row r="26" spans="1:7" ht="12.75">
      <c r="A26" t="s">
        <v>30</v>
      </c>
      <c r="B26" s="1">
        <f>420000+350000</f>
        <v>770000</v>
      </c>
      <c r="C26" s="1">
        <f>98709+150000</f>
        <v>248709</v>
      </c>
      <c r="D26" s="1">
        <v>5000</v>
      </c>
      <c r="E26" s="5">
        <f>0</f>
        <v>0</v>
      </c>
      <c r="F26" s="1">
        <f t="shared" si="1"/>
        <v>775000</v>
      </c>
      <c r="G26" s="1">
        <f t="shared" si="1"/>
        <v>248709</v>
      </c>
    </row>
    <row r="27" spans="1:7" ht="12.75">
      <c r="A27" t="s">
        <v>31</v>
      </c>
      <c r="B27" s="1">
        <f>3300+103000</f>
        <v>106300</v>
      </c>
      <c r="C27" s="1">
        <v>113976</v>
      </c>
      <c r="D27" s="1">
        <f>17700+300000+25000+312000+250000</f>
        <v>904700</v>
      </c>
      <c r="E27" s="5">
        <f>15079+27230+38900+60000+125000</f>
        <v>266209</v>
      </c>
      <c r="F27" s="1">
        <f t="shared" si="1"/>
        <v>1011000</v>
      </c>
      <c r="G27" s="1">
        <f t="shared" si="1"/>
        <v>380185</v>
      </c>
    </row>
    <row r="28" spans="1:7" ht="12.75">
      <c r="A28" t="s">
        <v>32</v>
      </c>
      <c r="B28" s="1">
        <f>36612+200000+17211+36473+47960</f>
        <v>338256</v>
      </c>
      <c r="C28" s="1">
        <v>84712</v>
      </c>
      <c r="D28" s="1">
        <f>225863+59443+150000+250000+300000+250000+61021+250000+129314+170040</f>
        <v>1845681</v>
      </c>
      <c r="E28" s="5">
        <f>13486+18750+75000+75000+108000+45000+50000</f>
        <v>385236</v>
      </c>
      <c r="F28" s="1">
        <f t="shared" si="1"/>
        <v>2183937</v>
      </c>
      <c r="G28" s="1">
        <f t="shared" si="1"/>
        <v>469948</v>
      </c>
    </row>
    <row r="29" spans="1:7" ht="12.75">
      <c r="A29" t="s">
        <v>33</v>
      </c>
      <c r="B29" s="1">
        <f>12500+97976+215000</f>
        <v>325476</v>
      </c>
      <c r="C29" s="1">
        <f>9550+5000</f>
        <v>14550</v>
      </c>
      <c r="D29" s="1">
        <v>98500</v>
      </c>
      <c r="E29" s="5">
        <f>6491-5000</f>
        <v>1491</v>
      </c>
      <c r="F29" s="1">
        <f t="shared" si="1"/>
        <v>423976</v>
      </c>
      <c r="G29" s="1">
        <f t="shared" si="1"/>
        <v>16041</v>
      </c>
    </row>
    <row r="30" spans="1:7" ht="12.75">
      <c r="A30" t="s">
        <v>34</v>
      </c>
      <c r="B30" s="1">
        <f>72622+60000+17555+94234+168000+100317</f>
        <v>512728</v>
      </c>
      <c r="C30" s="1">
        <f>71190+1450+2465</f>
        <v>75105</v>
      </c>
      <c r="D30" s="1">
        <f>211874+73145+42979+230712+100000+100000+245605</f>
        <v>1004315</v>
      </c>
      <c r="E30" s="5">
        <f>116747+88715+175000+37500+3550+6035+27500</f>
        <v>455047</v>
      </c>
      <c r="F30" s="1">
        <f t="shared" si="1"/>
        <v>1517043</v>
      </c>
      <c r="G30" s="1">
        <f t="shared" si="1"/>
        <v>530152</v>
      </c>
    </row>
    <row r="31" spans="1:7" ht="12.75">
      <c r="A31" t="s">
        <v>35</v>
      </c>
      <c r="B31" s="1">
        <f>7000+12500</f>
        <v>19500</v>
      </c>
      <c r="C31" s="1">
        <v>68468</v>
      </c>
      <c r="D31" s="1">
        <f>13000+12500</f>
        <v>25500</v>
      </c>
      <c r="E31" s="5">
        <f>22341+17850+32500</f>
        <v>72691</v>
      </c>
      <c r="F31" s="1">
        <f t="shared" si="1"/>
        <v>45000</v>
      </c>
      <c r="G31" s="1">
        <f t="shared" si="1"/>
        <v>141159</v>
      </c>
    </row>
    <row r="32" spans="1:7" ht="12.75">
      <c r="A32" t="s">
        <v>36</v>
      </c>
      <c r="B32" s="1">
        <f>6750+12500</f>
        <v>19250</v>
      </c>
      <c r="C32" s="1">
        <v>14302</v>
      </c>
      <c r="D32" s="1">
        <f>55250+20000+37500</f>
        <v>112750</v>
      </c>
      <c r="E32" s="5">
        <v>4335</v>
      </c>
      <c r="F32" s="1">
        <f t="shared" si="1"/>
        <v>132000</v>
      </c>
      <c r="G32" s="1">
        <f t="shared" si="1"/>
        <v>18637</v>
      </c>
    </row>
    <row r="33" spans="1:7" ht="12.75">
      <c r="A33" t="s">
        <v>37</v>
      </c>
      <c r="B33" s="1">
        <f>27470+50000+19500+19500</f>
        <v>116470</v>
      </c>
      <c r="C33" s="1">
        <f>-73105+1250+625+1563</f>
        <v>-69667</v>
      </c>
      <c r="D33" s="1">
        <f>495665+130500-3135+130500</f>
        <v>753530</v>
      </c>
      <c r="E33" s="5">
        <f>-112078+21875+8750+10938+8750+5000+4375</f>
        <v>-52390</v>
      </c>
      <c r="F33" s="1">
        <f t="shared" si="1"/>
        <v>870000</v>
      </c>
      <c r="G33" s="1">
        <f t="shared" si="1"/>
        <v>-122057</v>
      </c>
    </row>
    <row r="34" spans="1:7" ht="12.75">
      <c r="A34" t="s">
        <v>38</v>
      </c>
      <c r="B34" s="1">
        <f>219032+37265+150000+37265</f>
        <v>443562</v>
      </c>
      <c r="C34" s="1">
        <f>128971+1430</f>
        <v>130401</v>
      </c>
      <c r="D34" s="1">
        <f>592258+91235+200000+91235</f>
        <v>974728</v>
      </c>
      <c r="E34" s="5">
        <f>2031748+300000+500000+3570+700000</f>
        <v>3535318</v>
      </c>
      <c r="F34" s="1">
        <f t="shared" si="1"/>
        <v>1418290</v>
      </c>
      <c r="G34" s="1">
        <f t="shared" si="1"/>
        <v>3665719</v>
      </c>
    </row>
    <row r="35" spans="1:7" ht="12.75">
      <c r="A35" t="s">
        <v>39</v>
      </c>
      <c r="B35" s="1">
        <f>370350+112000+72000</f>
        <v>554350</v>
      </c>
      <c r="C35" s="1">
        <f>81329+5000+30000</f>
        <v>116329</v>
      </c>
      <c r="D35" s="1">
        <f>82650+25000</f>
        <v>107650</v>
      </c>
      <c r="E35" s="5">
        <f>4172505</f>
        <v>4172505</v>
      </c>
      <c r="F35" s="1">
        <f t="shared" si="1"/>
        <v>662000</v>
      </c>
      <c r="G35" s="1">
        <f t="shared" si="1"/>
        <v>4288834</v>
      </c>
    </row>
    <row r="36" spans="1:7" ht="12.75">
      <c r="A36" t="s">
        <v>40</v>
      </c>
      <c r="B36" s="1">
        <f>78036+42666+105000+32666</f>
        <v>258368</v>
      </c>
      <c r="C36" s="1">
        <f>96888+2750+1375+20000</f>
        <v>121013</v>
      </c>
      <c r="D36" s="1">
        <f>530246+97996+1250+97997</f>
        <v>727489</v>
      </c>
      <c r="E36" s="5">
        <f>141725+32500+8250+4125</f>
        <v>186600</v>
      </c>
      <c r="F36" s="1">
        <f t="shared" si="1"/>
        <v>985857</v>
      </c>
      <c r="G36" s="1">
        <f t="shared" si="1"/>
        <v>307613</v>
      </c>
    </row>
    <row r="37" spans="1:7" ht="12.75">
      <c r="A37" t="s">
        <v>41</v>
      </c>
      <c r="B37" s="1">
        <f>1950+260000+250000+250000+150000</f>
        <v>911950</v>
      </c>
      <c r="C37" s="1">
        <v>101852</v>
      </c>
      <c r="D37" s="1">
        <v>1069050</v>
      </c>
      <c r="E37" s="5">
        <f>535182+50000+21875+65625</f>
        <v>672682</v>
      </c>
      <c r="F37" s="1">
        <f t="shared" si="1"/>
        <v>1981000</v>
      </c>
      <c r="G37" s="1">
        <f t="shared" si="1"/>
        <v>774534</v>
      </c>
    </row>
    <row r="38" spans="1:7" ht="12.75">
      <c r="A38" t="s">
        <v>42</v>
      </c>
      <c r="B38" s="1">
        <f>5070+111840+76560</f>
        <v>193470</v>
      </c>
      <c r="C38" s="1">
        <f>99208+33333+28333</f>
        <v>160874</v>
      </c>
      <c r="D38" s="1">
        <f>95380+200000+100000+166160+155440</f>
        <v>716980</v>
      </c>
      <c r="E38" s="5">
        <f>100000+221276+60250+66667+66667+310000</f>
        <v>824860</v>
      </c>
      <c r="F38" s="1">
        <f aca="true" t="shared" si="2" ref="F38:G53">B38+D38</f>
        <v>910450</v>
      </c>
      <c r="G38" s="1">
        <f t="shared" si="2"/>
        <v>985734</v>
      </c>
    </row>
    <row r="39" spans="1:7" ht="12.75">
      <c r="A39" t="s">
        <v>43</v>
      </c>
      <c r="B39" s="1">
        <v>34272</v>
      </c>
      <c r="C39" s="1">
        <f>22139+17671+11560+21718</f>
        <v>73088</v>
      </c>
      <c r="D39" s="1">
        <v>86328</v>
      </c>
      <c r="E39" s="5">
        <f>140076+103950+53950+56440</f>
        <v>354416</v>
      </c>
      <c r="F39" s="1">
        <f t="shared" si="2"/>
        <v>120600</v>
      </c>
      <c r="G39" s="1">
        <f t="shared" si="2"/>
        <v>427504</v>
      </c>
    </row>
    <row r="40" spans="1:7" ht="12.75">
      <c r="A40" t="s">
        <v>44</v>
      </c>
      <c r="B40" s="1">
        <f>2730+15000</f>
        <v>17730</v>
      </c>
      <c r="C40" s="1">
        <v>58156</v>
      </c>
      <c r="D40" s="1">
        <f>25000+551469+25000</f>
        <v>601469</v>
      </c>
      <c r="E40" s="5">
        <f>518154+17500</f>
        <v>535654</v>
      </c>
      <c r="F40" s="1">
        <f t="shared" si="2"/>
        <v>619199</v>
      </c>
      <c r="G40" s="1">
        <f t="shared" si="2"/>
        <v>593810</v>
      </c>
    </row>
    <row r="41" spans="1:7" ht="12.75">
      <c r="A41" t="s">
        <v>45</v>
      </c>
      <c r="B41" s="1">
        <f>21300+110000</f>
        <v>131300</v>
      </c>
      <c r="C41" s="1">
        <f>43291+1332</f>
        <v>44623</v>
      </c>
      <c r="D41" s="1">
        <f>141700+125000</f>
        <v>266700</v>
      </c>
      <c r="E41" s="5">
        <f>-40987+6250+18750+6250+18750-6250-18750-6250-18750+6250+18750+6250+18750+5000+5057+15560+15000+50000+4668</f>
        <v>104298</v>
      </c>
      <c r="F41" s="1">
        <f t="shared" si="2"/>
        <v>398000</v>
      </c>
      <c r="G41" s="1">
        <f t="shared" si="2"/>
        <v>148921</v>
      </c>
    </row>
    <row r="42" spans="1:7" ht="12.75">
      <c r="A42" t="s">
        <v>46</v>
      </c>
      <c r="B42" s="1">
        <f>13775</f>
        <v>13775</v>
      </c>
      <c r="C42" s="1">
        <f>-54442+1250</f>
        <v>-53192</v>
      </c>
      <c r="D42" s="1">
        <v>141325</v>
      </c>
      <c r="E42" s="5">
        <f>-460464+1050+37500+3750</f>
        <v>-418164</v>
      </c>
      <c r="F42" s="1">
        <f t="shared" si="2"/>
        <v>155100</v>
      </c>
      <c r="G42" s="1">
        <f t="shared" si="2"/>
        <v>-471356</v>
      </c>
    </row>
    <row r="43" spans="1:7" ht="12.75">
      <c r="A43" t="s">
        <v>47</v>
      </c>
      <c r="B43" s="1">
        <f>145920+26000+100000</f>
        <v>271920</v>
      </c>
      <c r="C43" s="1">
        <f>45754+8333</f>
        <v>54087</v>
      </c>
      <c r="D43" s="1">
        <f>193080+126000+84000</f>
        <v>403080</v>
      </c>
      <c r="E43" s="5">
        <f>285158+100000+41667</f>
        <v>426825</v>
      </c>
      <c r="F43" s="1">
        <f t="shared" si="2"/>
        <v>675000</v>
      </c>
      <c r="G43" s="1">
        <f t="shared" si="2"/>
        <v>480912</v>
      </c>
    </row>
    <row r="44" spans="1:7" ht="12.75">
      <c r="A44" t="s">
        <v>48</v>
      </c>
      <c r="B44" s="1">
        <f>13495+125000+250000</f>
        <v>388495</v>
      </c>
      <c r="C44" s="1">
        <f>4069+11000</f>
        <v>15069</v>
      </c>
      <c r="D44" s="1">
        <v>10000</v>
      </c>
      <c r="E44" s="5">
        <f>0</f>
        <v>0</v>
      </c>
      <c r="F44" s="1">
        <f t="shared" si="2"/>
        <v>398495</v>
      </c>
      <c r="G44" s="1">
        <f t="shared" si="2"/>
        <v>15069</v>
      </c>
    </row>
    <row r="45" spans="1:7" ht="12.75">
      <c r="A45" t="s">
        <v>49</v>
      </c>
      <c r="B45" s="1">
        <f>89562+46250+64875+80000+150000+50000</f>
        <v>480687</v>
      </c>
      <c r="C45" s="1">
        <f>68120+40000</f>
        <v>108120</v>
      </c>
      <c r="D45" s="1">
        <f>5438+84750+25000+123750+75000+194625+5000+20000+450000+150000</f>
        <v>1133563</v>
      </c>
      <c r="E45" s="5">
        <f>2236+167500</f>
        <v>169736</v>
      </c>
      <c r="F45" s="1">
        <f t="shared" si="2"/>
        <v>1614250</v>
      </c>
      <c r="G45" s="1">
        <f t="shared" si="2"/>
        <v>277856</v>
      </c>
    </row>
    <row r="46" spans="1:7" ht="12.75">
      <c r="A46" t="s">
        <v>50</v>
      </c>
      <c r="B46" s="1">
        <f>367151+102960+34365+34365</f>
        <v>538841</v>
      </c>
      <c r="C46" s="1">
        <v>127397</v>
      </c>
      <c r="D46" s="1">
        <f>1421993+365040+121841+121841</f>
        <v>2030715</v>
      </c>
      <c r="E46" s="5">
        <v>211174</v>
      </c>
      <c r="F46" s="1">
        <f t="shared" si="2"/>
        <v>2569556</v>
      </c>
      <c r="G46" s="1">
        <f t="shared" si="2"/>
        <v>338571</v>
      </c>
    </row>
    <row r="47" spans="1:7" ht="12.75">
      <c r="A47" t="s">
        <v>51</v>
      </c>
      <c r="B47" s="1">
        <f>4350+150000+52500+250000+108750+90000</f>
        <v>655600</v>
      </c>
      <c r="C47" s="1">
        <f>96167+2143</f>
        <v>98310</v>
      </c>
      <c r="D47" s="1">
        <f>103938+60000+250000+52500+266250+90000</f>
        <v>822688</v>
      </c>
      <c r="E47" s="5">
        <f>451897+12000+100000</f>
        <v>563897</v>
      </c>
      <c r="F47" s="1">
        <f t="shared" si="2"/>
        <v>1478288</v>
      </c>
      <c r="G47" s="1">
        <f t="shared" si="2"/>
        <v>662207</v>
      </c>
    </row>
    <row r="48" spans="1:7" ht="12.75">
      <c r="A48" t="s">
        <v>52</v>
      </c>
      <c r="B48" s="1">
        <f>814216+250000+250000+270000</f>
        <v>1584216</v>
      </c>
      <c r="C48" s="1">
        <f>222980+1110+100000+50000</f>
        <v>374090</v>
      </c>
      <c r="D48" s="1">
        <v>1349371</v>
      </c>
      <c r="E48" s="5">
        <f>230610+3890+250000</f>
        <v>484500</v>
      </c>
      <c r="F48" s="1">
        <f t="shared" si="2"/>
        <v>2933587</v>
      </c>
      <c r="G48" s="1">
        <f t="shared" si="2"/>
        <v>858590</v>
      </c>
    </row>
    <row r="49" spans="1:7" ht="12.75">
      <c r="A49" t="s">
        <v>53</v>
      </c>
      <c r="B49" s="1">
        <f>4500</f>
        <v>4500</v>
      </c>
      <c r="C49" s="1">
        <v>45081</v>
      </c>
      <c r="D49" s="1">
        <v>18000</v>
      </c>
      <c r="E49" s="5">
        <f>4400</f>
        <v>4400</v>
      </c>
      <c r="F49" s="1">
        <f t="shared" si="2"/>
        <v>22500</v>
      </c>
      <c r="G49" s="1">
        <f t="shared" si="2"/>
        <v>49481</v>
      </c>
    </row>
    <row r="50" spans="1:7" ht="12.75">
      <c r="A50" t="s">
        <v>54</v>
      </c>
      <c r="B50" s="1">
        <v>32600</v>
      </c>
      <c r="C50" s="1">
        <v>89410</v>
      </c>
      <c r="D50" s="1">
        <v>0</v>
      </c>
      <c r="E50" s="5">
        <f>1999</f>
        <v>1999</v>
      </c>
      <c r="F50" s="1">
        <f t="shared" si="2"/>
        <v>32600</v>
      </c>
      <c r="G50" s="1">
        <f t="shared" si="2"/>
        <v>91409</v>
      </c>
    </row>
    <row r="51" spans="1:7" ht="12.75">
      <c r="A51" t="s">
        <v>55</v>
      </c>
      <c r="B51" s="1">
        <f>23760+25000</f>
        <v>48760</v>
      </c>
      <c r="C51" s="1">
        <v>72141</v>
      </c>
      <c r="D51" s="1">
        <f>1817682+75000</f>
        <v>1892682</v>
      </c>
      <c r="E51" s="5">
        <f>221675+2500+5000</f>
        <v>229175</v>
      </c>
      <c r="F51" s="1">
        <f t="shared" si="2"/>
        <v>1941442</v>
      </c>
      <c r="G51" s="1">
        <f t="shared" si="2"/>
        <v>301316</v>
      </c>
    </row>
    <row r="52" spans="1:7" ht="12.75">
      <c r="A52" t="s">
        <v>56</v>
      </c>
      <c r="B52" s="1">
        <v>9000</v>
      </c>
      <c r="C52" s="1">
        <v>78183</v>
      </c>
      <c r="D52" s="1">
        <v>77000</v>
      </c>
      <c r="E52" s="5">
        <f>128880+30000+180000</f>
        <v>338880</v>
      </c>
      <c r="F52" s="1">
        <f t="shared" si="2"/>
        <v>86000</v>
      </c>
      <c r="G52" s="1">
        <f t="shared" si="2"/>
        <v>417063</v>
      </c>
    </row>
    <row r="53" spans="1:7" ht="12.75">
      <c r="A53" t="s">
        <v>57</v>
      </c>
      <c r="B53" s="1">
        <f>27980+1650+28000+42000</f>
        <v>99630</v>
      </c>
      <c r="C53" s="1">
        <f>48213+25000</f>
        <v>73213</v>
      </c>
      <c r="D53" s="1">
        <f>46370+10050+3495+3350+15000</f>
        <v>78265</v>
      </c>
      <c r="E53" s="5">
        <v>0</v>
      </c>
      <c r="F53" s="1">
        <f t="shared" si="2"/>
        <v>177895</v>
      </c>
      <c r="G53" s="1">
        <f t="shared" si="2"/>
        <v>73213</v>
      </c>
    </row>
    <row r="54" spans="1:7" ht="12.75">
      <c r="A54" t="s">
        <v>58</v>
      </c>
      <c r="B54" s="1">
        <f>24711+21190+33600+3900</f>
        <v>83401</v>
      </c>
      <c r="C54" s="1">
        <v>-28832</v>
      </c>
      <c r="D54" s="1">
        <f>1287326+141810+300000+73000+191400+26100+250000</f>
        <v>2269636</v>
      </c>
      <c r="E54" s="5">
        <f>-40490+100000+50000+250000+200000</f>
        <v>559510</v>
      </c>
      <c r="F54" s="1">
        <f aca="true" t="shared" si="3" ref="F54:G57">B54+D54</f>
        <v>2353037</v>
      </c>
      <c r="G54" s="1">
        <f t="shared" si="3"/>
        <v>530678</v>
      </c>
    </row>
    <row r="55" spans="1:7" ht="12.75">
      <c r="A55" t="s">
        <v>59</v>
      </c>
      <c r="B55" s="1">
        <v>33300</v>
      </c>
      <c r="C55" s="1">
        <v>12800</v>
      </c>
      <c r="D55" s="1">
        <v>11700</v>
      </c>
      <c r="E55" s="5">
        <f>6210+10000</f>
        <v>16210</v>
      </c>
      <c r="F55" s="1">
        <f t="shared" si="3"/>
        <v>45000</v>
      </c>
      <c r="G55" s="1">
        <f t="shared" si="3"/>
        <v>29010</v>
      </c>
    </row>
    <row r="56" spans="2:7" ht="12.75">
      <c r="B56" s="1"/>
      <c r="C56" s="1"/>
      <c r="E56" s="5"/>
      <c r="F56" s="1"/>
      <c r="G56" s="1"/>
    </row>
    <row r="57" spans="1:7" ht="12.75">
      <c r="A57" t="s">
        <v>6</v>
      </c>
      <c r="B57" s="1">
        <f>SUM(B6:B55)</f>
        <v>13956737</v>
      </c>
      <c r="C57" s="1">
        <f>SUM(C6:C55)</f>
        <v>4215915</v>
      </c>
      <c r="D57" s="1">
        <f>SUM(D6:D55)</f>
        <v>32210532</v>
      </c>
      <c r="E57" s="5">
        <f>SUM(E6:E55)</f>
        <v>17365263</v>
      </c>
      <c r="F57" s="1">
        <f t="shared" si="3"/>
        <v>46167269</v>
      </c>
      <c r="G57" s="1">
        <f t="shared" si="3"/>
        <v>21581178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2002-10-30T18:45:43Z</dcterms:created>
  <dcterms:modified xsi:type="dcterms:W3CDTF">2002-10-30T18:46:03Z</dcterms:modified>
  <cp:category/>
  <cp:version/>
  <cp:contentType/>
  <cp:contentStatus/>
</cp:coreProperties>
</file>